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ustomProperty1.bin" ContentType="application/vnd.openxmlformats-officedocument.spreadsheetml.customProperty"/>
  <Override PartName="/xl/drawings/drawing6.xml" ContentType="application/vnd.openxmlformats-officedocument.drawing+xml"/>
  <Override PartName="/xl/comments3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blair\Dropbox\PTO\Budgets\2022-2023 Budget\M5 Nov 2022\"/>
    </mc:Choice>
  </mc:AlternateContent>
  <xr:revisionPtr revIDLastSave="0" documentId="13_ncr:1_{25E5708D-12F1-43A4-B1B5-D12E5FE8D564}" xr6:coauthVersionLast="47" xr6:coauthVersionMax="47" xr10:uidLastSave="{00000000-0000-0000-0000-000000000000}"/>
  <bookViews>
    <workbookView xWindow="240" yWindow="1215" windowWidth="19770" windowHeight="14400" xr2:uid="{00000000-000D-0000-FFFF-FFFF00000000}"/>
  </bookViews>
  <sheets>
    <sheet name="2022-2023 ACT" sheetId="29" r:id="rId1"/>
    <sheet name="Teacher funds" sheetId="31" r:id="rId2"/>
    <sheet name="June update notes" sheetId="30" r:id="rId3"/>
    <sheet name="Sheet2" sheetId="33" r:id="rId4"/>
    <sheet name="Sheet1" sheetId="32" r:id="rId5"/>
    <sheet name="PY 2020-2021 ACT" sheetId="21" r:id="rId6"/>
  </sheet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MacroRecalculationBehavior" hidden="1">0</definedName>
    <definedName name="_AtRisk_SimSetting_RandomNumberGenerator" hidden="1">0</definedName>
    <definedName name="_AtRisk_SimSetting_ReportOptionCustomItemsCount" hidden="1">0</definedName>
    <definedName name="_AtRisk_SimSetting_ReportOptionDataMode" hidden="1">1</definedName>
    <definedName name="_AtRisk_SimSetting_ReportOptionReportMultiSimType" hidden="1">0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xlnm._FilterDatabase" localSheetId="0" hidden="1">'2022-2023 ACT'!$A$6:$P$14</definedName>
    <definedName name="_xlnm._FilterDatabase" localSheetId="5" hidden="1">'PY 2020-2021 ACT'!$A$22:$P$31</definedName>
    <definedName name="_xlnm._FilterDatabase" localSheetId="1" hidden="1">'Teacher funds'!$B$3:$F$36</definedName>
    <definedName name="_xlnm.Print_Area" localSheetId="2">'June update notes'!$A$1:$R$90</definedName>
    <definedName name="_xlnm.Print_Area" localSheetId="5">'PY 2020-2021 ACT'!$A$2:$P$119</definedName>
    <definedName name="_xlnm.Print_Titles" localSheetId="0">'2022-2023 ACT'!$1:$1</definedName>
    <definedName name="_xlnm.Print_Titles" localSheetId="5">'PY 2020-2021 ACT'!$16:$16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7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5000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1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" i="29" l="1"/>
  <c r="F10" i="29"/>
  <c r="N9" i="29"/>
  <c r="F82" i="29"/>
  <c r="E82" i="29"/>
  <c r="D82" i="29"/>
  <c r="C82" i="29"/>
  <c r="F12" i="29"/>
  <c r="F75" i="29"/>
  <c r="E20" i="31"/>
  <c r="F29" i="29"/>
  <c r="F58" i="29"/>
  <c r="E9" i="31"/>
  <c r="E8" i="31"/>
  <c r="E7" i="31"/>
  <c r="F73" i="29"/>
  <c r="E35" i="31"/>
  <c r="F20" i="29"/>
  <c r="F70" i="29"/>
  <c r="F67" i="29"/>
  <c r="V28" i="29"/>
  <c r="V30" i="29"/>
  <c r="E70" i="29"/>
  <c r="E34" i="29"/>
  <c r="N10" i="29"/>
  <c r="E9" i="29"/>
  <c r="E4" i="29"/>
  <c r="E75" i="29"/>
  <c r="E33" i="31"/>
  <c r="E73" i="29" l="1"/>
  <c r="E4" i="31"/>
  <c r="D48" i="29" l="1"/>
  <c r="O46" i="29"/>
  <c r="O79" i="29" s="1"/>
  <c r="F14" i="31"/>
  <c r="F9" i="31"/>
  <c r="F5" i="31"/>
  <c r="F13" i="31"/>
  <c r="F18" i="31"/>
  <c r="D38" i="31"/>
  <c r="D75" i="29"/>
  <c r="E36" i="31" l="1"/>
  <c r="F36" i="31" s="1"/>
  <c r="D66" i="29" l="1"/>
  <c r="E15" i="31" l="1"/>
  <c r="F15" i="31" s="1"/>
  <c r="D12" i="29" l="1"/>
  <c r="D67" i="29"/>
  <c r="C67" i="29"/>
  <c r="B82" i="29"/>
  <c r="B83" i="29"/>
  <c r="E30" i="31"/>
  <c r="F30" i="31" s="1"/>
  <c r="N23" i="29"/>
  <c r="P23" i="29" s="1"/>
  <c r="N25" i="29"/>
  <c r="P25" i="29" s="1"/>
  <c r="F35" i="31" l="1"/>
  <c r="F10" i="31"/>
  <c r="E31" i="31"/>
  <c r="F31" i="31" s="1"/>
  <c r="F7" i="31"/>
  <c r="F8" i="31"/>
  <c r="E32" i="31"/>
  <c r="F32" i="31" s="1"/>
  <c r="E26" i="31"/>
  <c r="F26" i="31" s="1"/>
  <c r="E27" i="31"/>
  <c r="F27" i="31" s="1"/>
  <c r="E19" i="31"/>
  <c r="F19" i="31" s="1"/>
  <c r="E17" i="31"/>
  <c r="F17" i="31" s="1"/>
  <c r="F33" i="31"/>
  <c r="F20" i="31"/>
  <c r="E21" i="31"/>
  <c r="F21" i="31" s="1"/>
  <c r="F22" i="31"/>
  <c r="E29" i="31"/>
  <c r="F29" i="31" s="1"/>
  <c r="F12" i="31"/>
  <c r="F11" i="31"/>
  <c r="F6" i="31"/>
  <c r="F4" i="31"/>
  <c r="F25" i="31"/>
  <c r="E23" i="31"/>
  <c r="F23" i="31" s="1"/>
  <c r="E16" i="31"/>
  <c r="E24" i="31"/>
  <c r="F24" i="31" s="1"/>
  <c r="N8" i="29"/>
  <c r="P8" i="29" s="1"/>
  <c r="F16" i="31" l="1"/>
  <c r="N31" i="29"/>
  <c r="P31" i="29" s="1"/>
  <c r="E28" i="31"/>
  <c r="F28" i="31" s="1"/>
  <c r="N48" i="29"/>
  <c r="U33" i="29" l="1"/>
  <c r="E34" i="31"/>
  <c r="F34" i="31" s="1"/>
  <c r="F38" i="31" s="1"/>
  <c r="E38" i="31" l="1"/>
  <c r="N75" i="29"/>
  <c r="N70" i="29"/>
  <c r="N67" i="29"/>
  <c r="P48" i="29"/>
  <c r="N78" i="29"/>
  <c r="N77" i="29"/>
  <c r="P77" i="29" s="1"/>
  <c r="N76" i="29"/>
  <c r="N74" i="29"/>
  <c r="N73" i="29"/>
  <c r="P73" i="29" s="1"/>
  <c r="N72" i="29"/>
  <c r="N71" i="29"/>
  <c r="N69" i="29"/>
  <c r="N68" i="29"/>
  <c r="N66" i="29"/>
  <c r="P66" i="29" s="1"/>
  <c r="N65" i="29"/>
  <c r="N64" i="29"/>
  <c r="N59" i="29"/>
  <c r="N58" i="29"/>
  <c r="N57" i="29"/>
  <c r="N56" i="29"/>
  <c r="P56" i="29" s="1"/>
  <c r="N63" i="29"/>
  <c r="N61" i="29"/>
  <c r="N60" i="29"/>
  <c r="N55" i="29"/>
  <c r="N54" i="29"/>
  <c r="N53" i="29"/>
  <c r="N52" i="29"/>
  <c r="P52" i="29" s="1"/>
  <c r="N51" i="29"/>
  <c r="N50" i="29"/>
  <c r="N49" i="29"/>
  <c r="P44" i="29"/>
  <c r="M46" i="29"/>
  <c r="L46" i="29"/>
  <c r="K46" i="29"/>
  <c r="J46" i="29"/>
  <c r="I46" i="29"/>
  <c r="H46" i="29"/>
  <c r="G46" i="29"/>
  <c r="F46" i="29"/>
  <c r="E46" i="29"/>
  <c r="D46" i="29"/>
  <c r="C46" i="29"/>
  <c r="B46" i="29"/>
  <c r="O17" i="29"/>
  <c r="M17" i="29"/>
  <c r="L17" i="29"/>
  <c r="K17" i="29"/>
  <c r="J17" i="29"/>
  <c r="I17" i="29"/>
  <c r="H17" i="29"/>
  <c r="G17" i="29"/>
  <c r="F17" i="29"/>
  <c r="E17" i="29"/>
  <c r="D17" i="29"/>
  <c r="C17" i="29"/>
  <c r="B17" i="29"/>
  <c r="O84" i="29" l="1"/>
  <c r="O85" i="29" s="1"/>
  <c r="M84" i="29"/>
  <c r="M85" i="29" s="1"/>
  <c r="L84" i="29"/>
  <c r="L85" i="29" s="1"/>
  <c r="K84" i="29"/>
  <c r="K85" i="29" s="1"/>
  <c r="J84" i="29"/>
  <c r="J85" i="29" s="1"/>
  <c r="I84" i="29"/>
  <c r="I85" i="29" s="1"/>
  <c r="H84" i="29"/>
  <c r="H85" i="29" s="1"/>
  <c r="G84" i="29"/>
  <c r="G85" i="29" s="1"/>
  <c r="F84" i="29"/>
  <c r="F85" i="29" s="1"/>
  <c r="E84" i="29"/>
  <c r="E85" i="29" s="1"/>
  <c r="D84" i="29"/>
  <c r="D85" i="29" s="1"/>
  <c r="N83" i="29"/>
  <c r="P83" i="29" s="1"/>
  <c r="C84" i="29"/>
  <c r="C85" i="29" s="1"/>
  <c r="B84" i="29"/>
  <c r="B85" i="29" s="1"/>
  <c r="P76" i="29"/>
  <c r="P75" i="29"/>
  <c r="P74" i="29"/>
  <c r="P72" i="29"/>
  <c r="P71" i="29"/>
  <c r="P70" i="29"/>
  <c r="P69" i="29"/>
  <c r="P68" i="29"/>
  <c r="P67" i="29"/>
  <c r="P65" i="29"/>
  <c r="P64" i="29"/>
  <c r="P59" i="29"/>
  <c r="P58" i="29"/>
  <c r="P57" i="29"/>
  <c r="P63" i="29"/>
  <c r="P61" i="29"/>
  <c r="P60" i="29"/>
  <c r="P55" i="29"/>
  <c r="P54" i="29"/>
  <c r="P53" i="29"/>
  <c r="P51" i="29"/>
  <c r="P50" i="29"/>
  <c r="P49" i="29"/>
  <c r="N47" i="29"/>
  <c r="P47" i="29" s="1"/>
  <c r="K79" i="29"/>
  <c r="J79" i="29"/>
  <c r="I79" i="29"/>
  <c r="H79" i="29"/>
  <c r="G79" i="29"/>
  <c r="F79" i="29"/>
  <c r="E79" i="29"/>
  <c r="D79" i="29"/>
  <c r="C79" i="29"/>
  <c r="B79" i="29"/>
  <c r="N45" i="29"/>
  <c r="P45" i="29" s="1"/>
  <c r="N43" i="29"/>
  <c r="P43" i="29" s="1"/>
  <c r="N41" i="29"/>
  <c r="P41" i="29" s="1"/>
  <c r="N40" i="29"/>
  <c r="P40" i="29" s="1"/>
  <c r="N39" i="29"/>
  <c r="P39" i="29" s="1"/>
  <c r="N38" i="29"/>
  <c r="N37" i="29"/>
  <c r="N36" i="29"/>
  <c r="P36" i="29" s="1"/>
  <c r="N35" i="29"/>
  <c r="P35" i="29" s="1"/>
  <c r="N34" i="29"/>
  <c r="P34" i="29" s="1"/>
  <c r="N33" i="29"/>
  <c r="P33" i="29" s="1"/>
  <c r="N32" i="29"/>
  <c r="P32" i="29" s="1"/>
  <c r="N30" i="29"/>
  <c r="P30" i="29" s="1"/>
  <c r="N29" i="29"/>
  <c r="P29" i="29" s="1"/>
  <c r="N28" i="29"/>
  <c r="P28" i="29" s="1"/>
  <c r="N27" i="29"/>
  <c r="P27" i="29" s="1"/>
  <c r="N26" i="29"/>
  <c r="P26" i="29" s="1"/>
  <c r="N24" i="29"/>
  <c r="P24" i="29" s="1"/>
  <c r="N22" i="29"/>
  <c r="P22" i="29" s="1"/>
  <c r="N21" i="29"/>
  <c r="P21" i="29" s="1"/>
  <c r="N20" i="29"/>
  <c r="P20" i="29" s="1"/>
  <c r="N19" i="29"/>
  <c r="N15" i="29"/>
  <c r="P15" i="29" s="1"/>
  <c r="N14" i="29"/>
  <c r="P14" i="29" s="1"/>
  <c r="N13" i="29"/>
  <c r="P13" i="29" s="1"/>
  <c r="N12" i="29"/>
  <c r="P12" i="29" s="1"/>
  <c r="N11" i="29"/>
  <c r="P11" i="29" s="1"/>
  <c r="P9" i="29"/>
  <c r="N7" i="29"/>
  <c r="P7" i="29" s="1"/>
  <c r="N6" i="29"/>
  <c r="P6" i="29" s="1"/>
  <c r="N5" i="29"/>
  <c r="P5" i="29" s="1"/>
  <c r="N4" i="29"/>
  <c r="P4" i="29" s="1"/>
  <c r="N3" i="29"/>
  <c r="P3" i="29" s="1"/>
  <c r="M89" i="21"/>
  <c r="M84" i="21"/>
  <c r="M36" i="21"/>
  <c r="M47" i="21"/>
  <c r="M57" i="21"/>
  <c r="M88" i="21"/>
  <c r="U58" i="21"/>
  <c r="M61" i="21"/>
  <c r="U57" i="21"/>
  <c r="U56" i="21"/>
  <c r="U55" i="21"/>
  <c r="U48" i="21"/>
  <c r="V48" i="21" s="1"/>
  <c r="P38" i="29" l="1"/>
  <c r="P19" i="29"/>
  <c r="P37" i="29"/>
  <c r="I80" i="29"/>
  <c r="I86" i="29" s="1"/>
  <c r="G80" i="29"/>
  <c r="G86" i="29" s="1"/>
  <c r="E80" i="29"/>
  <c r="E86" i="29" s="1"/>
  <c r="F80" i="29"/>
  <c r="F86" i="29" s="1"/>
  <c r="H80" i="29"/>
  <c r="H86" i="29" s="1"/>
  <c r="L79" i="29"/>
  <c r="L80" i="29" s="1"/>
  <c r="L86" i="29" s="1"/>
  <c r="C80" i="29"/>
  <c r="C86" i="29" s="1"/>
  <c r="J80" i="29"/>
  <c r="J86" i="29" s="1"/>
  <c r="D80" i="29"/>
  <c r="D86" i="29" s="1"/>
  <c r="N85" i="29"/>
  <c r="K80" i="29"/>
  <c r="K86" i="29" s="1"/>
  <c r="B80" i="29"/>
  <c r="B86" i="29" s="1"/>
  <c r="O80" i="29"/>
  <c r="O86" i="29" s="1"/>
  <c r="N42" i="29"/>
  <c r="P42" i="29" s="1"/>
  <c r="N82" i="29"/>
  <c r="N84" i="29" s="1"/>
  <c r="P10" i="29"/>
  <c r="M79" i="29"/>
  <c r="M80" i="29" s="1"/>
  <c r="M86" i="29" s="1"/>
  <c r="L88" i="21"/>
  <c r="L89" i="21"/>
  <c r="U59" i="21"/>
  <c r="L60" i="21"/>
  <c r="U15" i="21"/>
  <c r="U17" i="21"/>
  <c r="L29" i="21"/>
  <c r="L33" i="21" s="1"/>
  <c r="L59" i="21"/>
  <c r="U16" i="21"/>
  <c r="L41" i="21"/>
  <c r="X9" i="21"/>
  <c r="U14" i="21"/>
  <c r="X15" i="21"/>
  <c r="X16" i="21"/>
  <c r="K79" i="21"/>
  <c r="J33" i="21"/>
  <c r="I33" i="21"/>
  <c r="H33" i="21"/>
  <c r="G33" i="21"/>
  <c r="F33" i="21"/>
  <c r="D33" i="21"/>
  <c r="B33" i="21"/>
  <c r="O33" i="21"/>
  <c r="K26" i="21"/>
  <c r="K33" i="21" s="1"/>
  <c r="K88" i="21"/>
  <c r="N46" i="29" l="1"/>
  <c r="P17" i="29"/>
  <c r="N79" i="29"/>
  <c r="P46" i="29"/>
  <c r="P79" i="29" s="1"/>
  <c r="N17" i="29"/>
  <c r="P82" i="29"/>
  <c r="P84" i="29" s="1"/>
  <c r="P85" i="29" s="1"/>
  <c r="N32" i="21"/>
  <c r="P32" i="21" s="1"/>
  <c r="N55" i="21"/>
  <c r="P55" i="21" s="1"/>
  <c r="U64" i="21"/>
  <c r="U63" i="21"/>
  <c r="W28" i="21"/>
  <c r="M33" i="21"/>
  <c r="J96" i="21"/>
  <c r="J97" i="21" s="1"/>
  <c r="J63" i="21"/>
  <c r="J91" i="21" s="1"/>
  <c r="P80" i="29" l="1"/>
  <c r="P86" i="29" s="1"/>
  <c r="N80" i="29"/>
  <c r="N86" i="29" s="1"/>
  <c r="N23" i="21"/>
  <c r="N80" i="21"/>
  <c r="P80" i="21" s="1"/>
  <c r="C26" i="21" l="1"/>
  <c r="E64" i="21" l="1"/>
  <c r="E25" i="21"/>
  <c r="E33" i="21" s="1"/>
  <c r="N24" i="21"/>
  <c r="P24" i="21" s="1"/>
  <c r="V31" i="21" l="1"/>
  <c r="D79" i="21" l="1"/>
  <c r="C29" i="21" l="1"/>
  <c r="C33" i="21" s="1"/>
  <c r="C79" i="21"/>
  <c r="C94" i="21"/>
  <c r="B95" i="21"/>
  <c r="B94" i="21"/>
  <c r="N82" i="21"/>
  <c r="P82" i="21" s="1"/>
  <c r="N72" i="21"/>
  <c r="P72" i="21" s="1"/>
  <c r="N45" i="21"/>
  <c r="P45" i="21" s="1"/>
  <c r="N81" i="21"/>
  <c r="P81" i="21" s="1"/>
  <c r="N41" i="21"/>
  <c r="P41" i="21" s="1"/>
  <c r="N49" i="21"/>
  <c r="N83" i="21"/>
  <c r="P83" i="21" s="1"/>
  <c r="P49" i="21" l="1"/>
  <c r="O63" i="21" l="1"/>
  <c r="O91" i="21" s="1"/>
  <c r="N20" i="21"/>
  <c r="P20" i="21" s="1"/>
  <c r="N21" i="21"/>
  <c r="P21" i="21" s="1"/>
  <c r="N22" i="21"/>
  <c r="P22" i="21" s="1"/>
  <c r="P23" i="21"/>
  <c r="N27" i="21"/>
  <c r="P27" i="21" s="1"/>
  <c r="N28" i="21"/>
  <c r="P28" i="21" s="1"/>
  <c r="N31" i="21"/>
  <c r="P31" i="21" s="1"/>
  <c r="N19" i="21"/>
  <c r="P19" i="21" l="1"/>
  <c r="N36" i="21"/>
  <c r="P36" i="21" s="1"/>
  <c r="J92" i="21" l="1"/>
  <c r="J98" i="21" s="1"/>
  <c r="N26" i="21" l="1"/>
  <c r="P26" i="21" s="1"/>
  <c r="N29" i="21" l="1"/>
  <c r="P29" i="21" s="1"/>
  <c r="N25" i="21" l="1"/>
  <c r="P25" i="21" s="1"/>
  <c r="N18" i="21" l="1"/>
  <c r="N30" i="21" l="1"/>
  <c r="P30" i="21" s="1"/>
  <c r="N33" i="21" l="1"/>
  <c r="N51" i="21"/>
  <c r="P51" i="21" s="1"/>
  <c r="N68" i="21"/>
  <c r="P68" i="21" s="1"/>
  <c r="N53" i="21"/>
  <c r="P53" i="21" s="1"/>
  <c r="N58" i="21" l="1"/>
  <c r="N59" i="21"/>
  <c r="N60" i="21"/>
  <c r="N61" i="21"/>
  <c r="P61" i="21" s="1"/>
  <c r="N56" i="21"/>
  <c r="N62" i="21"/>
  <c r="N57" i="21"/>
  <c r="V64" i="21" l="1"/>
  <c r="P56" i="21"/>
  <c r="N63" i="21"/>
  <c r="N54" i="21"/>
  <c r="P54" i="21" s="1"/>
  <c r="N52" i="21" l="1"/>
  <c r="P52" i="21" s="1"/>
  <c r="I96" i="21"/>
  <c r="I97" i="21" s="1"/>
  <c r="X19" i="21"/>
  <c r="H96" i="21"/>
  <c r="H97" i="21" s="1"/>
  <c r="F96" i="21"/>
  <c r="F97" i="21" s="1"/>
  <c r="N88" i="21"/>
  <c r="N38" i="21"/>
  <c r="P38" i="21" s="1"/>
  <c r="G63" i="21"/>
  <c r="G91" i="21" s="1"/>
  <c r="H63" i="21"/>
  <c r="H91" i="21" s="1"/>
  <c r="I63" i="21"/>
  <c r="I91" i="21" s="1"/>
  <c r="K63" i="21"/>
  <c r="K91" i="21" s="1"/>
  <c r="K96" i="21"/>
  <c r="K97" i="21" s="1"/>
  <c r="L63" i="21"/>
  <c r="L91" i="21" s="1"/>
  <c r="L96" i="21"/>
  <c r="L97" i="21" s="1"/>
  <c r="M63" i="21"/>
  <c r="M91" i="21" s="1"/>
  <c r="M96" i="21"/>
  <c r="M97" i="21" s="1"/>
  <c r="O96" i="21"/>
  <c r="O97" i="21" s="1"/>
  <c r="C63" i="21"/>
  <c r="C91" i="21" s="1"/>
  <c r="E96" i="21"/>
  <c r="E97" i="21" s="1"/>
  <c r="N79" i="21"/>
  <c r="N37" i="21"/>
  <c r="N78" i="21"/>
  <c r="B63" i="21"/>
  <c r="B91" i="21" s="1"/>
  <c r="N89" i="21"/>
  <c r="N87" i="21"/>
  <c r="N86" i="21"/>
  <c r="P86" i="21" s="1"/>
  <c r="N85" i="21"/>
  <c r="P85" i="21" s="1"/>
  <c r="N84" i="21"/>
  <c r="N77" i="21"/>
  <c r="N76" i="21"/>
  <c r="P76" i="21" s="1"/>
  <c r="N75" i="21"/>
  <c r="P75" i="21" s="1"/>
  <c r="N74" i="21"/>
  <c r="N73" i="21"/>
  <c r="P73" i="21" s="1"/>
  <c r="N71" i="21"/>
  <c r="N70" i="21"/>
  <c r="N69" i="21"/>
  <c r="N67" i="21"/>
  <c r="N66" i="21"/>
  <c r="P66" i="21" s="1"/>
  <c r="N65" i="21"/>
  <c r="P65" i="21" s="1"/>
  <c r="N64" i="21"/>
  <c r="P64" i="21" s="1"/>
  <c r="P59" i="21"/>
  <c r="N50" i="21"/>
  <c r="P50" i="21" s="1"/>
  <c r="N48" i="21"/>
  <c r="P48" i="21" s="1"/>
  <c r="N47" i="21"/>
  <c r="P47" i="21" s="1"/>
  <c r="N46" i="21"/>
  <c r="P46" i="21" s="1"/>
  <c r="N44" i="21"/>
  <c r="P44" i="21" s="1"/>
  <c r="N43" i="21"/>
  <c r="P43" i="21" s="1"/>
  <c r="N42" i="21"/>
  <c r="N40" i="21"/>
  <c r="P40" i="21" s="1"/>
  <c r="N39" i="21"/>
  <c r="P39" i="21" s="1"/>
  <c r="P58" i="21"/>
  <c r="D96" i="21"/>
  <c r="D97" i="21" s="1"/>
  <c r="B96" i="21"/>
  <c r="B97" i="21" s="1"/>
  <c r="E63" i="21"/>
  <c r="E91" i="21" s="1"/>
  <c r="P60" i="21"/>
  <c r="N91" i="21" l="1"/>
  <c r="P78" i="21"/>
  <c r="I92" i="21"/>
  <c r="I98" i="21" s="1"/>
  <c r="E92" i="21"/>
  <c r="E98" i="21" s="1"/>
  <c r="B92" i="21"/>
  <c r="B98" i="21" s="1"/>
  <c r="M92" i="21"/>
  <c r="M98" i="21" s="1"/>
  <c r="C92" i="21"/>
  <c r="L92" i="21"/>
  <c r="L98" i="21" s="1"/>
  <c r="H92" i="21"/>
  <c r="H98" i="21" s="1"/>
  <c r="K92" i="21"/>
  <c r="K98" i="21" s="1"/>
  <c r="G92" i="21"/>
  <c r="P37" i="21"/>
  <c r="P42" i="21"/>
  <c r="P71" i="21"/>
  <c r="O92" i="21"/>
  <c r="O98" i="21" s="1"/>
  <c r="Y23" i="21"/>
  <c r="Y22" i="21"/>
  <c r="P89" i="21"/>
  <c r="P87" i="21"/>
  <c r="C96" i="21"/>
  <c r="C97" i="21" s="1"/>
  <c r="P70" i="21"/>
  <c r="P77" i="21"/>
  <c r="N95" i="21"/>
  <c r="P95" i="21" s="1"/>
  <c r="G96" i="21"/>
  <c r="G97" i="21" s="1"/>
  <c r="P67" i="21"/>
  <c r="P18" i="21"/>
  <c r="P33" i="21" s="1"/>
  <c r="P84" i="21"/>
  <c r="Q84" i="21" s="1"/>
  <c r="P74" i="21"/>
  <c r="P79" i="21"/>
  <c r="P62" i="21"/>
  <c r="F63" i="21"/>
  <c r="F91" i="21" s="1"/>
  <c r="F92" i="21" s="1"/>
  <c r="D63" i="21"/>
  <c r="N94" i="21"/>
  <c r="P69" i="21"/>
  <c r="P88" i="21"/>
  <c r="D91" i="21" l="1"/>
  <c r="D92" i="21" s="1"/>
  <c r="D98" i="21" s="1"/>
  <c r="N92" i="21"/>
  <c r="N97" i="21"/>
  <c r="G98" i="21"/>
  <c r="C98" i="21"/>
  <c r="N96" i="21"/>
  <c r="F98" i="21"/>
  <c r="P57" i="21"/>
  <c r="P94" i="21"/>
  <c r="P96" i="21" s="1"/>
  <c r="P97" i="21" s="1"/>
  <c r="P63" i="21" l="1"/>
  <c r="P91" i="21" s="1"/>
  <c r="P92" i="21" s="1"/>
  <c r="P98" i="21" s="1"/>
  <c r="N98" i="2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blair hamilton</author>
    <author>Hiersche, Kristina M</author>
    <author>tc={89CE85C6-EBC9-4296-8544-2C92AC9D832B}</author>
    <author>Tamara Ward</author>
  </authors>
  <commentList>
    <comment ref="E4" authorId="0" shapeId="0" xr:uid="{8F5D9411-EB0A-4094-A179-9DF9EE4BBAC2}">
      <text>
        <r>
          <rPr>
            <b/>
            <sz val="9"/>
            <color indexed="81"/>
            <rFont val="Tahoma"/>
            <charset val="1"/>
          </rPr>
          <t>blair hamilton:</t>
        </r>
        <r>
          <rPr>
            <sz val="9"/>
            <color indexed="81"/>
            <rFont val="Tahoma"/>
            <charset val="1"/>
          </rPr>
          <t xml:space="preserve">
first amount is the value of the paper cash, second is the value of the coins</t>
        </r>
      </text>
    </comment>
    <comment ref="E10" authorId="0" shapeId="0" xr:uid="{3371329C-08F3-4478-B386-439400BA41E4}">
      <text>
        <r>
          <rPr>
            <b/>
            <sz val="9"/>
            <color indexed="81"/>
            <rFont val="Tahoma"/>
            <charset val="1"/>
          </rPr>
          <t>blair hamilton:</t>
        </r>
        <r>
          <rPr>
            <sz val="9"/>
            <color indexed="81"/>
            <rFont val="Tahoma"/>
            <charset val="1"/>
          </rPr>
          <t xml:space="preserve">
$20 from a parent handed to me at meet the teacher night</t>
        </r>
      </text>
    </comment>
    <comment ref="A34" authorId="1" shapeId="0" xr:uid="{072F8E96-E22C-4A02-BC01-95F8E769C851}">
      <text>
        <r>
          <rPr>
            <b/>
            <sz val="9"/>
            <color indexed="81"/>
            <rFont val="Tahoma"/>
            <family val="2"/>
          </rPr>
          <t>Hiersche, Kristina M:</t>
        </r>
        <r>
          <rPr>
            <sz val="9"/>
            <color indexed="81"/>
            <rFont val="Tahoma"/>
            <family val="2"/>
          </rPr>
          <t xml:space="preserve">
 (Quickbooks Jun, Web Hosting May, Domain Name)</t>
        </r>
      </text>
    </comment>
    <comment ref="D40" authorId="2" shapeId="0" xr:uid="{89CE85C6-EBC9-4296-8544-2C92AC9D832B}">
      <text>
        <t>[Threaded comment]
Your version of Excel allows you to read this threaded comment; however, any edits to it will get removed if the file is opened in a newer version of Excel. Learn more: https://go.microsoft.com/fwlink/?linkid=870924
Comment:
    Bus from last years trip</t>
      </text>
    </comment>
    <comment ref="D42" authorId="0" shapeId="0" xr:uid="{925E25E0-F484-484F-A5B6-973447B3FFCE}">
      <text>
        <r>
          <rPr>
            <b/>
            <sz val="9"/>
            <color indexed="81"/>
            <rFont val="Tahoma"/>
            <charset val="1"/>
          </rPr>
          <t>blair hamilton:</t>
        </r>
        <r>
          <rPr>
            <sz val="9"/>
            <color indexed="81"/>
            <rFont val="Tahoma"/>
            <charset val="1"/>
          </rPr>
          <t xml:space="preserve">
from 4th grade trip to hoyt last school year</t>
        </r>
      </text>
    </comment>
    <comment ref="A60" authorId="3" shapeId="0" xr:uid="{D35582F3-6F80-4DCB-918D-6AFE297D51BB}">
      <text>
        <r>
          <rPr>
            <b/>
            <sz val="9"/>
            <color indexed="81"/>
            <rFont val="Tahoma"/>
            <charset val="1"/>
          </rPr>
          <t>Tamara Ward:</t>
        </r>
        <r>
          <rPr>
            <sz val="9"/>
            <color indexed="81"/>
            <rFont val="Tahoma"/>
            <charset val="1"/>
          </rPr>
          <t xml:space="preserve">
20/21: Library
21/22: PE
22/23: Music
</t>
        </r>
      </text>
    </comment>
    <comment ref="D65" authorId="0" shapeId="0" xr:uid="{DEBA60A6-BE91-4961-BD5B-DA3BA0140F86}">
      <text>
        <r>
          <rPr>
            <b/>
            <sz val="9"/>
            <color indexed="81"/>
            <rFont val="Tahoma"/>
            <charset val="1"/>
          </rPr>
          <t>blair hamilton:</t>
        </r>
        <r>
          <rPr>
            <sz val="9"/>
            <color indexed="81"/>
            <rFont val="Tahoma"/>
            <charset val="1"/>
          </rPr>
          <t xml:space="preserve">
from Mrs. West</t>
        </r>
      </text>
    </comment>
    <comment ref="D66" authorId="0" shapeId="0" xr:uid="{DF6CBE4F-0C56-431E-9ED4-06EF7C07B893}">
      <text>
        <r>
          <rPr>
            <b/>
            <sz val="9"/>
            <color indexed="81"/>
            <rFont val="Tahoma"/>
            <charset val="1"/>
          </rPr>
          <t>blair hamilton:</t>
        </r>
        <r>
          <rPr>
            <sz val="9"/>
            <color indexed="81"/>
            <rFont val="Tahoma"/>
            <charset val="1"/>
          </rPr>
          <t xml:space="preserve">
from Serrao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Hiersche, Kristina M</author>
    <author>Tamara Ward</author>
  </authors>
  <commentList>
    <comment ref="A18" authorId="0" shapeId="0" xr:uid="{93DBBDB3-8420-4F0B-A7D7-B0EC075E69EA}">
      <text>
        <r>
          <rPr>
            <b/>
            <sz val="9"/>
            <color indexed="81"/>
            <rFont val="Tahoma"/>
            <family val="2"/>
          </rPr>
          <t>Hiersche, Kristina M:</t>
        </r>
        <r>
          <rPr>
            <sz val="9"/>
            <color indexed="81"/>
            <rFont val="Tahoma"/>
            <family val="2"/>
          </rPr>
          <t xml:space="preserve">
 (Quickbooks Jun, Web Hosting May, Domain Name)</t>
        </r>
      </text>
    </comment>
    <comment ref="A22" authorId="1" shapeId="0" xr:uid="{4D14C678-BB5B-48DC-A271-3F4D25F36CA0}">
      <text>
        <r>
          <rPr>
            <b/>
            <sz val="9"/>
            <color indexed="81"/>
            <rFont val="Tahoma"/>
            <charset val="1"/>
          </rPr>
          <t>Tamara Ward:</t>
        </r>
        <r>
          <rPr>
            <sz val="9"/>
            <color indexed="81"/>
            <rFont val="Tahoma"/>
            <charset val="1"/>
          </rPr>
          <t xml:space="preserve">
20/21: Library
21/22: PE
22/23: Music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Tamara Ward</author>
    <author>Hiersche, Kristina M</author>
    <author>Tdub</author>
  </authors>
  <commentList>
    <comment ref="C23" authorId="0" shapeId="0" xr:uid="{22D5CFCC-68D2-4DDC-9F29-892B8A40B7DB}">
      <text>
        <r>
          <rPr>
            <b/>
            <sz val="9"/>
            <color indexed="81"/>
            <rFont val="Tahoma"/>
            <family val="2"/>
          </rPr>
          <t>Tamara Ward:</t>
        </r>
        <r>
          <rPr>
            <sz val="9"/>
            <color indexed="81"/>
            <rFont val="Tahoma"/>
            <family val="2"/>
          </rPr>
          <t xml:space="preserve">
In Kind donation for scouts</t>
        </r>
      </text>
    </comment>
    <comment ref="K32" authorId="0" shapeId="0" xr:uid="{41F42FC2-4B92-4FA4-BBC3-77F081CE896B}">
      <text>
        <r>
          <rPr>
            <b/>
            <sz val="9"/>
            <color indexed="81"/>
            <rFont val="Tahoma"/>
            <family val="2"/>
          </rPr>
          <t>Tamara Ward:</t>
        </r>
        <r>
          <rPr>
            <sz val="9"/>
            <color indexed="81"/>
            <rFont val="Tahoma"/>
            <family val="2"/>
          </rPr>
          <t xml:space="preserve">
Funds for staff appreciation week (donations in cash rather than items). To be spent in May.</t>
        </r>
      </text>
    </comment>
    <comment ref="A52" authorId="1" shapeId="0" xr:uid="{00000000-0006-0000-0F00-000002000000}">
      <text>
        <r>
          <rPr>
            <b/>
            <sz val="9"/>
            <color indexed="81"/>
            <rFont val="Tahoma"/>
            <family val="2"/>
          </rPr>
          <t>Hiersche, Kristina M:</t>
        </r>
        <r>
          <rPr>
            <sz val="9"/>
            <color indexed="81"/>
            <rFont val="Tahoma"/>
            <family val="2"/>
          </rPr>
          <t xml:space="preserve">
 (Quickbooks Jun, Web Hosting May, Domain Name)</t>
        </r>
      </text>
    </comment>
    <comment ref="E52" authorId="2" shapeId="0" xr:uid="{E8883192-5D14-4774-AE97-15026D52F205}">
      <text>
        <r>
          <rPr>
            <b/>
            <sz val="9"/>
            <color indexed="81"/>
            <rFont val="Tahoma"/>
            <family val="2"/>
          </rPr>
          <t>TWard:</t>
        </r>
        <r>
          <rPr>
            <sz val="9"/>
            <color indexed="81"/>
            <rFont val="Tahoma"/>
            <family val="2"/>
          </rPr>
          <t xml:space="preserve">
S'more online newsletter subscription</t>
        </r>
      </text>
    </comment>
    <comment ref="G52" authorId="0" shapeId="0" xr:uid="{AC2122A1-BCC5-42AC-9495-388CE5FBF3B8}">
      <text>
        <r>
          <rPr>
            <b/>
            <sz val="9"/>
            <color indexed="81"/>
            <rFont val="Tahoma"/>
            <family val="2"/>
          </rPr>
          <t>Tamara Ward:</t>
        </r>
        <r>
          <rPr>
            <sz val="9"/>
            <color indexed="81"/>
            <rFont val="Tahoma"/>
            <family val="2"/>
          </rPr>
          <t xml:space="preserve">
WordPress</t>
        </r>
      </text>
    </comment>
    <comment ref="E89" authorId="2" shapeId="0" xr:uid="{655BD419-23CE-48D6-BF6D-B9F7470673F4}">
      <text>
        <r>
          <rPr>
            <sz val="9"/>
            <color indexed="81"/>
            <rFont val="Tahoma"/>
            <family val="2"/>
          </rPr>
          <t>$249 Digitial SLP for speech therapy</t>
        </r>
      </text>
    </comment>
  </commentList>
</comments>
</file>

<file path=xl/sharedStrings.xml><?xml version="1.0" encoding="utf-8"?>
<sst xmlns="http://schemas.openxmlformats.org/spreadsheetml/2006/main" count="520" uniqueCount="280">
  <si>
    <t>YTD</t>
  </si>
  <si>
    <t>Budget</t>
  </si>
  <si>
    <t>Over/Under</t>
  </si>
  <si>
    <t>Income</t>
  </si>
  <si>
    <t xml:space="preserve">      Bank Accounts</t>
  </si>
  <si>
    <t>K</t>
  </si>
  <si>
    <t>Pearson</t>
  </si>
  <si>
    <t>Total Income</t>
  </si>
  <si>
    <t>Smith</t>
  </si>
  <si>
    <t>1st</t>
  </si>
  <si>
    <t>Beltran</t>
  </si>
  <si>
    <t>Expenses</t>
  </si>
  <si>
    <t>Trinci</t>
  </si>
  <si>
    <t>2nd</t>
  </si>
  <si>
    <t>King</t>
  </si>
  <si>
    <t>3rd</t>
  </si>
  <si>
    <t>Villegas</t>
  </si>
  <si>
    <t>West</t>
  </si>
  <si>
    <t>4th</t>
  </si>
  <si>
    <t>Calafet</t>
  </si>
  <si>
    <t>5th</t>
  </si>
  <si>
    <t>Hausman</t>
  </si>
  <si>
    <t>ESL</t>
  </si>
  <si>
    <t>Rousseau</t>
  </si>
  <si>
    <t>Music</t>
  </si>
  <si>
    <t>Total Expenses</t>
  </si>
  <si>
    <t>Net Operating Income</t>
  </si>
  <si>
    <t>Other Income</t>
  </si>
  <si>
    <t xml:space="preserve">   Bank Dividends</t>
  </si>
  <si>
    <t xml:space="preserve">   CD Dividends</t>
  </si>
  <si>
    <t>Total Other Income</t>
  </si>
  <si>
    <t>Net Other Income</t>
  </si>
  <si>
    <t>Net Income</t>
  </si>
  <si>
    <t>CD 10 - 12 month (Jan)</t>
  </si>
  <si>
    <t>CD 15 - 12 month (Jul)</t>
  </si>
  <si>
    <t>Donnelly</t>
  </si>
  <si>
    <t>Viegas</t>
  </si>
  <si>
    <t>Library</t>
  </si>
  <si>
    <t>PE</t>
  </si>
  <si>
    <t>Couns</t>
  </si>
  <si>
    <t>Speech</t>
  </si>
  <si>
    <t>Guernsey</t>
  </si>
  <si>
    <t>Tech</t>
  </si>
  <si>
    <t>CD 18 - 6 month (4/10)</t>
  </si>
  <si>
    <t>CD 19 - 3 month (1/4/7/10)</t>
  </si>
  <si>
    <t>Lee</t>
  </si>
  <si>
    <t>Summers</t>
  </si>
  <si>
    <t>Peterson</t>
  </si>
  <si>
    <t>Caryl</t>
  </si>
  <si>
    <t>Psych</t>
  </si>
  <si>
    <t>Colett</t>
  </si>
  <si>
    <t>Mayes</t>
  </si>
  <si>
    <t>Oakes</t>
  </si>
  <si>
    <t>Keegan</t>
  </si>
  <si>
    <t>Wilson</t>
  </si>
  <si>
    <t>Grade</t>
  </si>
  <si>
    <t>Serrao</t>
  </si>
  <si>
    <t>Resource</t>
  </si>
  <si>
    <t>Melvin</t>
  </si>
  <si>
    <t>Intervention</t>
  </si>
  <si>
    <t>Stu Success</t>
  </si>
  <si>
    <t xml:space="preserve">   Teacher Supplies (Used)</t>
  </si>
  <si>
    <t>Teacher</t>
  </si>
  <si>
    <t>$</t>
  </si>
  <si>
    <t>Abel</t>
  </si>
  <si>
    <t>Debusk</t>
  </si>
  <si>
    <t>Starr</t>
  </si>
  <si>
    <t>Primary</t>
  </si>
  <si>
    <t>Battle of the books</t>
  </si>
  <si>
    <t>Bottle Drop</t>
  </si>
  <si>
    <t>Box Tops</t>
  </si>
  <si>
    <t>Total</t>
  </si>
  <si>
    <t>Scouts</t>
  </si>
  <si>
    <t>Fun Run</t>
  </si>
  <si>
    <t>Penny Drive</t>
  </si>
  <si>
    <t>Restaurant Night</t>
  </si>
  <si>
    <t>Rewards Programs (Amazon Smile, Fred Meyer)</t>
  </si>
  <si>
    <t>CD 16-3 month (2/5/8/11)</t>
  </si>
  <si>
    <t>School Supplies</t>
  </si>
  <si>
    <t>Science Expo</t>
  </si>
  <si>
    <t>Shadow Project</t>
  </si>
  <si>
    <t>5th Grade Send Off (Expenses)</t>
  </si>
  <si>
    <t>Art Literacy</t>
  </si>
  <si>
    <t>Assemblies</t>
  </si>
  <si>
    <t>Battle of the Books</t>
  </si>
  <si>
    <t>Book Room</t>
  </si>
  <si>
    <t>Chess Club</t>
  </si>
  <si>
    <t>Class Parties</t>
  </si>
  <si>
    <t>Clothes Closet Donation</t>
  </si>
  <si>
    <t>Donut with Your Grown-Up</t>
  </si>
  <si>
    <t>Dry Cleaining (Furry Grover)</t>
  </si>
  <si>
    <t>Dues &amp; Subscriptions</t>
  </si>
  <si>
    <t>Emergency Buckets</t>
  </si>
  <si>
    <t>Field Trips</t>
  </si>
  <si>
    <t>1st Grade</t>
  </si>
  <si>
    <t>2nd Grade</t>
  </si>
  <si>
    <t>3rd Grade</t>
  </si>
  <si>
    <t>4th Grade</t>
  </si>
  <si>
    <t>5th Grade</t>
  </si>
  <si>
    <t>Kindy</t>
  </si>
  <si>
    <t>College Visit/Career Readiness (5th grade)</t>
  </si>
  <si>
    <t>Total Field Trips</t>
  </si>
  <si>
    <t>Fun Run (Expenses)</t>
  </si>
  <si>
    <t>Garden Area (Kindy)</t>
  </si>
  <si>
    <t>Geography Club</t>
  </si>
  <si>
    <t>Insurance</t>
  </si>
  <si>
    <t>Meet Your Teacher</t>
  </si>
  <si>
    <t>Mystery Science</t>
  </si>
  <si>
    <t>Oregon Trail (4th Grade)</t>
  </si>
  <si>
    <t>Pack Leaders</t>
  </si>
  <si>
    <t>Penny Drive (Music)</t>
  </si>
  <si>
    <t>Penny Drive (Tech)</t>
  </si>
  <si>
    <t>Planners</t>
  </si>
  <si>
    <t>PTO Meetings</t>
  </si>
  <si>
    <t>PTO Supplies</t>
  </si>
  <si>
    <t>Reading Online Program (RAZ)</t>
  </si>
  <si>
    <t>Scholastic (Kindy)</t>
  </si>
  <si>
    <t>Scholastic (3rd Grade)</t>
  </si>
  <si>
    <t xml:space="preserve">Science Expo </t>
  </si>
  <si>
    <t>Staff Appreciation/Conference</t>
  </si>
  <si>
    <t>Staff Meals (Principal)</t>
  </si>
  <si>
    <t>Summer Reading Party</t>
  </si>
  <si>
    <t>Taxes &amp; Licenses</t>
  </si>
  <si>
    <t>Teacher Supplies</t>
  </si>
  <si>
    <t>Unbudgeted Expense</t>
  </si>
  <si>
    <t>Philharmonic Children's Concert (3rd-5th, every 3rd year)</t>
  </si>
  <si>
    <t>Book Fair (Flow-thru)</t>
  </si>
  <si>
    <t>Book Fair</t>
  </si>
  <si>
    <t>Social &amp; Emotional Learning Center</t>
  </si>
  <si>
    <t>Dishwasher</t>
  </si>
  <si>
    <t>Brain Pop jr. (Oaks)</t>
  </si>
  <si>
    <t>Brain Pop (Peterson)</t>
  </si>
  <si>
    <t>Penny Drive (Library)</t>
  </si>
  <si>
    <t>K/1</t>
  </si>
  <si>
    <t>Servin Spath</t>
  </si>
  <si>
    <t>Business Savings</t>
  </si>
  <si>
    <t>Business Checking</t>
  </si>
  <si>
    <t>**Budget as of August**</t>
  </si>
  <si>
    <t>Field Day (Villegas)</t>
  </si>
  <si>
    <t>Book Grant (King)</t>
  </si>
  <si>
    <t>Paypal</t>
  </si>
  <si>
    <t>Food Donation</t>
  </si>
  <si>
    <t>5th Grade Send Off (flow-thru)</t>
  </si>
  <si>
    <t>Scouts (flow thru)</t>
  </si>
  <si>
    <t>operating</t>
  </si>
  <si>
    <t xml:space="preserve">   Teacher Field Trip Funds (used)</t>
  </si>
  <si>
    <t>Total Budget (700 each)</t>
  </si>
  <si>
    <t>Member/Misc (Donation; incl. corp. match funds)</t>
  </si>
  <si>
    <t>Staff Appreciation donations</t>
  </si>
  <si>
    <t>Cody/Phou</t>
  </si>
  <si>
    <t>combine with donations above</t>
  </si>
  <si>
    <t>Donut with Your Grown-Up/Movie night</t>
  </si>
  <si>
    <t>Restaurant Nights (PE)</t>
  </si>
  <si>
    <t>Restaurant Nights (Music)</t>
  </si>
  <si>
    <t>Scholastic (5th Grade)</t>
  </si>
  <si>
    <t>Wellness (SEL) Center</t>
  </si>
  <si>
    <t>Sunshine Fund</t>
  </si>
  <si>
    <t>Scouts (flow thru of earmarked donations rec'd)</t>
  </si>
  <si>
    <t>Leijon</t>
  </si>
  <si>
    <t>Harwood</t>
  </si>
  <si>
    <t>PreK</t>
  </si>
  <si>
    <t>Norris</t>
  </si>
  <si>
    <t>Ruhnke</t>
  </si>
  <si>
    <t>Social Wkr</t>
  </si>
  <si>
    <t>Silver</t>
  </si>
  <si>
    <t>Choo</t>
  </si>
  <si>
    <t>Dolan</t>
  </si>
  <si>
    <t>Coach/Intvtn</t>
  </si>
  <si>
    <t>Counselor</t>
  </si>
  <si>
    <t>School Supplies Donations</t>
  </si>
  <si>
    <t>Learning Spec</t>
  </si>
  <si>
    <t>Fun Run - Pledgestar fees</t>
  </si>
  <si>
    <t>Fir Grove PTO</t>
  </si>
  <si>
    <t>Budget overview</t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</si>
  <si>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Fun Run is our one big fundraiser that funds most of what we do</t>
    </r>
  </si>
  <si>
    <r>
      <t>-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Biggest expenditures funded by Fun Run:  Field Trips ($13K), teacher supplies ($8K), Art Lit, class parties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</si>
  <si>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We also get a large donation from Beaverton Christian Church to fund school supplies</t>
    </r>
  </si>
  <si>
    <r>
      <t>-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Keeps supply list for families to a minimum</t>
    </r>
  </si>
  <si>
    <t>Current updates:</t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</si>
  <si>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We budgeted income of $25K last spring in hopes of a “normal” in-person Fun Run this fall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</si>
  <si>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Last year we earned $12K with a virtual/socially-distanced Fun Run</t>
    </r>
  </si>
  <si>
    <r>
      <t>-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Students ran laps in neighborhood individually or with family/friends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</si>
  <si>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Fun Run has been postponed until spring, when we hope to have a more "normal" in-person event.  We will use cash reserves (CD's) to fund activity if needed over and above current operating funds of approx. $15K.</t>
    </r>
  </si>
  <si>
    <r>
      <t>-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Our supplies coordinator (Minta Johnson) uses these funds to stock the classrooms, coordinating with teachers</t>
    </r>
  </si>
  <si>
    <t>September activity</t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</si>
  <si>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We spent $3,000 of school supply budget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</si>
  <si>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$851 towards Scholastic subscriptions for 3rd and 5th grade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</si>
  <si>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$335 general insurance renewal (annual)</t>
    </r>
  </si>
  <si>
    <r>
      <t>-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This year BCC raised $9,325, exceeding our budget of $7,000!</t>
    </r>
  </si>
  <si>
    <t>Field trips</t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</si>
  <si>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The Philharmonic event will be virtual this year, so the $1,000 budgeted for that field trip will not be needed</t>
    </r>
  </si>
  <si>
    <t>October activity</t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</si>
  <si>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We received $1,000 from Bottle Drop (budget $2,500)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</si>
  <si>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We spent $1,020 to purchase books for OBOB (Oregon Battle of the Books)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</si>
  <si>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$952 on reimbursements to staff for classroom supplies</t>
    </r>
  </si>
  <si>
    <r>
      <t>-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Due to potential need to use cash reserves, in October we started cashing out CD's to the savings account rather than renewing.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</si>
  <si>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Kindy and 1st grade did virtual visits to the apple orchard.  Field trips and budgeted funds will be revisited throughout the year - if all or most field trips are cancelled, we may look at options to bring activities into the classrooms.</t>
    </r>
  </si>
  <si>
    <t>Fulle</t>
  </si>
  <si>
    <t>November activity</t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</si>
  <si>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Slow month - not much activity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</si>
  <si>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Received $243 in rewards from Fred Meyer/Amazon, $101 of other donations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</si>
  <si>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Spent $500 on reimbursements for classroom supplies, and $445 for class parties</t>
    </r>
  </si>
  <si>
    <t>December activity</t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</si>
  <si>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Another slow month - expected in December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</si>
  <si>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Spent $378, mostly on school and classroom supplies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</si>
  <si>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Received $457 staff appreciation donations and $500 other donations</t>
    </r>
    <r>
      <rPr>
        <sz val="11"/>
        <rFont val="Symbol"/>
        <family val="1"/>
        <charset val="2"/>
      </rPr>
      <t>.</t>
    </r>
    <r>
      <rPr>
        <sz val="11"/>
        <rFont val="Calibri"/>
        <family val="2"/>
        <scheme val="minor"/>
      </rPr>
      <t xml:space="preserve">  Will purchase a new Keurig coffee maker for staff room in January.</t>
    </r>
  </si>
  <si>
    <t>January activity</t>
  </si>
  <si>
    <t>Received a $500 donation from a community member</t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</si>
  <si>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Spent $629, mostly on staff appreciation (new Keurig coffee maker for staff room)</t>
    </r>
  </si>
  <si>
    <r>
      <t>·</t>
    </r>
    <r>
      <rPr>
        <sz val="7"/>
        <rFont val="Times New Roman"/>
        <family val="1"/>
      </rPr>
      <t>     </t>
    </r>
    <r>
      <rPr>
        <sz val="11"/>
        <rFont val="Calibri"/>
        <family val="2"/>
        <scheme val="minor"/>
      </rPr>
      <t>No clarity yet on Field Trip funds, still communicating with teachers and looking into remote options (OMSI, etc.)</t>
    </r>
  </si>
  <si>
    <t>Restaurant Nights (Library) (carryover from 2020-2021 year)</t>
  </si>
  <si>
    <t>February activity</t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</si>
  <si>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Spent $2,144, including $600 for an Assembly performance, $490 on class parties, $477 on classroom supplies for teachers.</t>
    </r>
  </si>
  <si>
    <r>
      <t>·</t>
    </r>
    <r>
      <rPr>
        <sz val="7"/>
        <rFont val="Times New Roman"/>
        <family val="1"/>
      </rPr>
      <t>     </t>
    </r>
    <r>
      <rPr>
        <sz val="11"/>
        <rFont val="Calibri"/>
        <family val="2"/>
        <scheme val="minor"/>
      </rPr>
      <t>Question on whether there is time to do in-person field trips this year with COVID restrictions easing.  May be limited by bus staffing availability.</t>
    </r>
  </si>
  <si>
    <r>
      <t>·</t>
    </r>
    <r>
      <rPr>
        <sz val="7"/>
        <rFont val="Times New Roman"/>
        <family val="1"/>
      </rPr>
      <t>     </t>
    </r>
    <r>
      <rPr>
        <sz val="11"/>
        <rFont val="Calibri"/>
        <family val="2"/>
        <scheme val="minor"/>
      </rPr>
      <t>We have a request to help fund a screen in the gym.  We are waiting to see how Fun Run fundraising goes before committing.</t>
    </r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</si>
  <si>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Received $449 from various sources - Box Tops, MOD Pizza, etc.</t>
    </r>
  </si>
  <si>
    <t>Boy Scouts (flow thru - donations earmarked for Scouts)</t>
  </si>
  <si>
    <t>Community Fundraiser</t>
  </si>
  <si>
    <t>Community Fundraiser (Flow through)</t>
  </si>
  <si>
    <t>March activity</t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</si>
  <si>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Received $25.6K for Fun Run (hooray!), and $1,114 for community fundraiser</t>
    </r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</si>
  <si>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Spent $5,853 on Fun Run expenses - T-shirts and PledgeStar fee ($995), $250 Clothes Closet donation, and $651 on misc other supplies, etc.</t>
    </r>
  </si>
  <si>
    <r>
      <t>·</t>
    </r>
    <r>
      <rPr>
        <sz val="7"/>
        <rFont val="Times New Roman"/>
        <family val="1"/>
      </rPr>
      <t>     </t>
    </r>
    <r>
      <rPr>
        <sz val="11"/>
        <rFont val="Calibri"/>
        <family val="2"/>
        <scheme val="minor"/>
      </rPr>
      <t>We have a request to help fund a screen in the gym.  Since we met our Fun Run goal, we will vote at the April meeting for approval to fund this.</t>
    </r>
  </si>
  <si>
    <t>Grade/Class</t>
  </si>
  <si>
    <t>Name</t>
  </si>
  <si>
    <t>Remaining</t>
  </si>
  <si>
    <t>Spent YTD</t>
  </si>
  <si>
    <t>Melissa_Mayes@beaverton.k12.or.us</t>
  </si>
  <si>
    <t>Tara_Trinci@beaverton.k12.or.us</t>
  </si>
  <si>
    <t>brynn_viegas@beaverton.k12.or.us</t>
  </si>
  <si>
    <t>jennifer_beltran@beaverton.k12.or.us</t>
  </si>
  <si>
    <t>Kristin_Melvin@beaverton.k12.or.us</t>
  </si>
  <si>
    <t>renee_oakes@beaverton.k12.or.us</t>
  </si>
  <si>
    <t>jessica_west@beaverton.k12.or.us</t>
  </si>
  <si>
    <t>laurie_calafet@beaverton.k12.or.us</t>
  </si>
  <si>
    <t>Jason_Peterson@beaverton.k12.or.us</t>
  </si>
  <si>
    <t>stacy_serrao@beaverton.k12.or.us</t>
  </si>
  <si>
    <t>richard_lee@beaverton.k12.or.us</t>
  </si>
  <si>
    <t>jennifer_mohr@beaverton.k12.or.us</t>
  </si>
  <si>
    <t>leslie_villegas@beaverton.k12.or.us</t>
  </si>
  <si>
    <t>LisaKaren_Donnelly@beaverton.k12.or.us</t>
  </si>
  <si>
    <t>joyce_debusk@beaverton.k12.or.us</t>
  </si>
  <si>
    <t>debbie_abel@beaverton.k12.or.us</t>
  </si>
  <si>
    <t>jennifer_hausman@beaverton.k12.or.us</t>
  </si>
  <si>
    <t>jada_pearson@beaverton.k12.or.us</t>
  </si>
  <si>
    <t>Michelle_King@beaverton.k12.or.us</t>
  </si>
  <si>
    <t>Molly_Norris@beaverton.k12.or.us</t>
  </si>
  <si>
    <t>Rhonda_Harwood@beaverton.k12.or.us</t>
  </si>
  <si>
    <t>Greg_Leijon@beaverton.k12.or.us</t>
  </si>
  <si>
    <t>cheyenne_kiefel@beaverton.k12.or.us</t>
  </si>
  <si>
    <t>Lindsay_Ruhnke@beaverton.k12.or.us</t>
  </si>
  <si>
    <t>Maureen_Caryl@beaverton.k12.or.us</t>
  </si>
  <si>
    <t>deborah_starr@beaverton.k12.or.us</t>
  </si>
  <si>
    <t>elizabeth_silver@beaverton.k12.or.us</t>
  </si>
  <si>
    <t>Brenda_Fulle@beaverton.k12.or.us</t>
  </si>
  <si>
    <t>Shiok_Choo@beaverton.k12.or.us</t>
  </si>
  <si>
    <t>Sara_Dolan@beaverton.k12.or.us</t>
  </si>
  <si>
    <t>Kelly_Smith@beaverton.k12.or.us</t>
  </si>
  <si>
    <t>April activity</t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</si>
  <si>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The Book Fair was a big success! We deposited cash receipts of $3,902 (will go out in May as pass through). Received $623 for Fun Run stragglers, and $183 for donations for staff appreciation/conference meals.</t>
    </r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</si>
  <si>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Spent $1,114 on community fundraiser (in/outflow from March), $4,612 for gym screen voted on at last meeting, and $1,081 on classroom and school supplies.</t>
    </r>
  </si>
  <si>
    <r>
      <t>·</t>
    </r>
    <r>
      <rPr>
        <sz val="7"/>
        <rFont val="Times New Roman"/>
        <family val="1"/>
      </rPr>
      <t>     </t>
    </r>
    <r>
      <rPr>
        <sz val="11"/>
        <rFont val="Calibri"/>
        <family val="2"/>
        <scheme val="minor"/>
      </rPr>
      <t>2nd grade has booked a field trip!  Expense coming in May.</t>
    </r>
  </si>
  <si>
    <t>Operating</t>
  </si>
  <si>
    <t>Reserves</t>
  </si>
  <si>
    <t>May activity</t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</si>
  <si>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$2,309 of deposits, primarily $1,000 Bottle Drop and $756 corporate matching funds</t>
    </r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</si>
  <si>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Spent $2,773 on Scholastic Book Fair (flow through of income deposited in April), $515 for field trips, and $460 on Science Expo expenses.</t>
    </r>
  </si>
  <si>
    <t>Fun Run supplies, prizes, and T-shirts</t>
  </si>
  <si>
    <t>June activity</t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</si>
  <si>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$765 of deposits, primarily $654 income from Science Expo food and raffle</t>
    </r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</si>
  <si>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Spent total of $9,288, primarily on: $2,257 teacher classroom funds, $1,974 school supplies, $1,462 5th Grade Send off,  $1,000 Library specials funds, $647 class parties, and $647 staff appreciation.</t>
    </r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</si>
  <si>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We never got billed for school buses for 2nd/4th grade field trips.  Presumably we will get those in the fall and need to absorb in 22/23 budget.</t>
    </r>
  </si>
  <si>
    <t>Book Fair profit</t>
  </si>
  <si>
    <t>Boohoo Woohoo (welcome new families)</t>
  </si>
  <si>
    <t>Ford</t>
  </si>
  <si>
    <t>Restaurant Nights (Tech)</t>
  </si>
  <si>
    <t>Barto</t>
  </si>
  <si>
    <t>Winterfeld</t>
  </si>
  <si>
    <t>Bottle drop balance: $1686</t>
  </si>
  <si>
    <t>BoxTops Balance: $113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</si>
</sst>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_);[Red]\(0.00\)"/>
    <numFmt numFmtId="165" formatCode="0.00_);\(0.00\)"/>
    <numFmt numFmtId="166" formatCode="_(* #,##0_);_(* \(#,##0\);_(* &quot;-&quot;??_);_(@_)"/>
    <numFmt numFmtId="167" formatCode="_(&quot;$&quot;* #,##0_);_(&quot;$&quot;* \(#,##0\);_(&quot;$&quot;* &quot;-&quot;??_);_(@_)"/>
    <numFmt numFmtId="168" formatCode="0_);[Red]\(0\)"/>
    <numFmt numFmtId="169" formatCode="0_);\(0\)"/>
  </numFmts>
  <fonts count="48" x14ac:knownFonts="1"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i/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b/>
      <i/>
      <sz val="8"/>
      <color theme="1"/>
      <name val="Arial"/>
      <family val="2"/>
    </font>
    <font>
      <sz val="10"/>
      <name val="Arial"/>
      <family val="2"/>
    </font>
    <font>
      <i/>
      <sz val="8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i/>
      <sz val="8"/>
      <name val="Calibri"/>
      <family val="2"/>
      <scheme val="minor"/>
    </font>
    <font>
      <i/>
      <sz val="8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name val="Calibri"/>
      <family val="2"/>
      <scheme val="minor"/>
    </font>
    <font>
      <b/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0"/>
      <name val="Calibri"/>
      <family val="2"/>
      <scheme val="minor"/>
    </font>
    <font>
      <i/>
      <sz val="10"/>
      <name val="Calibri"/>
      <family val="2"/>
      <scheme val="minor"/>
    </font>
    <font>
      <sz val="9"/>
      <name val="Calibri"/>
      <family val="2"/>
      <scheme val="minor"/>
    </font>
    <font>
      <b/>
      <i/>
      <sz val="9"/>
      <name val="Calibri"/>
      <family val="2"/>
      <scheme val="minor"/>
    </font>
    <font>
      <i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Symbol"/>
      <family val="1"/>
      <charset val="2"/>
    </font>
    <font>
      <sz val="7"/>
      <name val="Times New Roman"/>
      <family val="1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u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0"/>
      <color theme="0" tint="-0.499984740745262"/>
      <name val="Calibri"/>
      <family val="2"/>
      <scheme val="minor"/>
    </font>
    <font>
      <i/>
      <sz val="8"/>
      <color theme="0" tint="-0.499984740745262"/>
      <name val="Calibri"/>
      <family val="2"/>
      <scheme val="minor"/>
    </font>
    <font>
      <b/>
      <i/>
      <sz val="8"/>
      <color theme="0" tint="-0.49998474074526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44" fontId="9" fillId="0" borderId="0" applyFont="0" applyFill="0" applyBorder="0" applyAlignment="0" applyProtection="0"/>
    <xf numFmtId="43" fontId="16" fillId="0" borderId="0" applyFont="0" applyFill="0" applyBorder="0" applyAlignment="0" applyProtection="0"/>
    <xf numFmtId="9" fontId="1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0" fontId="1" fillId="0" borderId="0"/>
    <xf numFmtId="43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44" fillId="0" borderId="0" applyNumberFormat="0" applyFill="0" applyBorder="0" applyAlignment="0" applyProtection="0"/>
  </cellStyleXfs>
  <cellXfs count="424">
    <xf numFmtId="0" fontId="0" fillId="0" borderId="0" xfId="0"/>
    <xf numFmtId="164" fontId="0" fillId="0" borderId="0" xfId="0" applyNumberFormat="1"/>
    <xf numFmtId="0" fontId="8" fillId="0" borderId="0" xfId="0" applyFont="1"/>
    <xf numFmtId="165" fontId="0" fillId="0" borderId="0" xfId="0" applyNumberFormat="1"/>
    <xf numFmtId="165" fontId="0" fillId="2" borderId="0" xfId="0" applyNumberFormat="1" applyFill="1"/>
    <xf numFmtId="165" fontId="0" fillId="3" borderId="0" xfId="0" applyNumberFormat="1" applyFill="1"/>
    <xf numFmtId="165" fontId="11" fillId="0" borderId="0" xfId="0" applyNumberFormat="1" applyFont="1"/>
    <xf numFmtId="165" fontId="2" fillId="2" borderId="1" xfId="0" applyNumberFormat="1" applyFont="1" applyFill="1" applyBorder="1" applyAlignment="1">
      <alignment horizontal="center"/>
    </xf>
    <xf numFmtId="0" fontId="3" fillId="0" borderId="0" xfId="0" applyFont="1" applyAlignment="1">
      <alignment horizontal="left"/>
    </xf>
    <xf numFmtId="165" fontId="4" fillId="0" borderId="0" xfId="0" applyNumberFormat="1" applyFont="1"/>
    <xf numFmtId="165" fontId="4" fillId="2" borderId="0" xfId="0" applyNumberFormat="1" applyFont="1" applyFill="1"/>
    <xf numFmtId="165" fontId="4" fillId="3" borderId="0" xfId="0" applyNumberFormat="1" applyFont="1" applyFill="1"/>
    <xf numFmtId="0" fontId="5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4" fontId="3" fillId="0" borderId="2" xfId="0" applyNumberFormat="1" applyFont="1" applyBorder="1" applyAlignment="1">
      <alignment horizontal="left"/>
    </xf>
    <xf numFmtId="4" fontId="3" fillId="0" borderId="3" xfId="0" applyNumberFormat="1" applyFont="1" applyBorder="1" applyAlignment="1">
      <alignment horizontal="left"/>
    </xf>
    <xf numFmtId="40" fontId="8" fillId="0" borderId="0" xfId="0" applyNumberFormat="1" applyFont="1"/>
    <xf numFmtId="17" fontId="2" fillId="0" borderId="1" xfId="0" applyNumberFormat="1" applyFont="1" applyBorder="1" applyAlignment="1">
      <alignment horizontal="center"/>
    </xf>
    <xf numFmtId="0" fontId="11" fillId="0" borderId="0" xfId="0" applyFont="1"/>
    <xf numFmtId="0" fontId="14" fillId="0" borderId="0" xfId="0" applyFont="1"/>
    <xf numFmtId="43" fontId="0" fillId="0" borderId="0" xfId="0" applyNumberFormat="1"/>
    <xf numFmtId="165" fontId="2" fillId="3" borderId="1" xfId="0" applyNumberFormat="1" applyFont="1" applyFill="1" applyBorder="1" applyAlignment="1">
      <alignment horizontal="center"/>
    </xf>
    <xf numFmtId="164" fontId="8" fillId="0" borderId="0" xfId="0" applyNumberFormat="1" applyFont="1"/>
    <xf numFmtId="0" fontId="2" fillId="0" borderId="0" xfId="0" applyFont="1" applyAlignment="1">
      <alignment horizontal="left"/>
    </xf>
    <xf numFmtId="165" fontId="0" fillId="4" borderId="0" xfId="0" applyNumberFormat="1" applyFill="1"/>
    <xf numFmtId="165" fontId="2" fillId="4" borderId="1" xfId="0" applyNumberFormat="1" applyFont="1" applyFill="1" applyBorder="1" applyAlignment="1">
      <alignment horizontal="center"/>
    </xf>
    <xf numFmtId="165" fontId="4" fillId="4" borderId="0" xfId="0" applyNumberFormat="1" applyFont="1" applyFill="1"/>
    <xf numFmtId="166" fontId="4" fillId="0" borderId="5" xfId="2" applyNumberFormat="1" applyFont="1" applyBorder="1" applyAlignment="1">
      <alignment horizontal="right"/>
    </xf>
    <xf numFmtId="166" fontId="4" fillId="2" borderId="5" xfId="2" applyNumberFormat="1" applyFont="1" applyFill="1" applyBorder="1" applyAlignment="1">
      <alignment horizontal="right"/>
    </xf>
    <xf numFmtId="166" fontId="4" fillId="4" borderId="5" xfId="2" applyNumberFormat="1" applyFont="1" applyFill="1" applyBorder="1" applyAlignment="1">
      <alignment horizontal="right"/>
    </xf>
    <xf numFmtId="166" fontId="4" fillId="3" borderId="5" xfId="2" applyNumberFormat="1" applyFont="1" applyFill="1" applyBorder="1" applyAlignment="1">
      <alignment horizontal="right"/>
    </xf>
    <xf numFmtId="166" fontId="4" fillId="0" borderId="0" xfId="2" applyNumberFormat="1" applyFont="1" applyAlignment="1">
      <alignment horizontal="right"/>
    </xf>
    <xf numFmtId="166" fontId="4" fillId="2" borderId="0" xfId="2" applyNumberFormat="1" applyFont="1" applyFill="1" applyAlignment="1">
      <alignment horizontal="right"/>
    </xf>
    <xf numFmtId="166" fontId="4" fillId="4" borderId="0" xfId="2" applyNumberFormat="1" applyFont="1" applyFill="1" applyAlignment="1">
      <alignment horizontal="right"/>
    </xf>
    <xf numFmtId="166" fontId="4" fillId="3" borderId="0" xfId="2" applyNumberFormat="1" applyFont="1" applyFill="1" applyAlignment="1">
      <alignment horizontal="right"/>
    </xf>
    <xf numFmtId="166" fontId="3" fillId="0" borderId="0" xfId="2" applyNumberFormat="1" applyFont="1" applyAlignment="1">
      <alignment horizontal="right"/>
    </xf>
    <xf numFmtId="166" fontId="12" fillId="0" borderId="0" xfId="2" applyNumberFormat="1" applyFont="1" applyAlignment="1">
      <alignment horizontal="right"/>
    </xf>
    <xf numFmtId="166" fontId="0" fillId="0" borderId="0" xfId="2" applyNumberFormat="1" applyFont="1"/>
    <xf numFmtId="166" fontId="3" fillId="0" borderId="4" xfId="2" applyNumberFormat="1" applyFont="1" applyBorder="1" applyAlignment="1">
      <alignment horizontal="right"/>
    </xf>
    <xf numFmtId="166" fontId="3" fillId="2" borderId="4" xfId="2" applyNumberFormat="1" applyFont="1" applyFill="1" applyBorder="1" applyAlignment="1">
      <alignment horizontal="right"/>
    </xf>
    <xf numFmtId="166" fontId="3" fillId="4" borderId="4" xfId="2" applyNumberFormat="1" applyFont="1" applyFill="1" applyBorder="1" applyAlignment="1">
      <alignment horizontal="right"/>
    </xf>
    <xf numFmtId="166" fontId="3" fillId="3" borderId="4" xfId="2" applyNumberFormat="1" applyFont="1" applyFill="1" applyBorder="1" applyAlignment="1">
      <alignment horizontal="right"/>
    </xf>
    <xf numFmtId="166" fontId="3" fillId="0" borderId="4" xfId="2" applyNumberFormat="1" applyFont="1" applyFill="1" applyBorder="1" applyAlignment="1">
      <alignment horizontal="right"/>
    </xf>
    <xf numFmtId="166" fontId="4" fillId="0" borderId="0" xfId="2" applyNumberFormat="1" applyFont="1"/>
    <xf numFmtId="166" fontId="4" fillId="0" borderId="0" xfId="2" applyNumberFormat="1" applyFont="1" applyFill="1"/>
    <xf numFmtId="166" fontId="4" fillId="4" borderId="0" xfId="2" applyNumberFormat="1" applyFont="1" applyFill="1"/>
    <xf numFmtId="166" fontId="4" fillId="3" borderId="0" xfId="2" applyNumberFormat="1" applyFont="1" applyFill="1"/>
    <xf numFmtId="166" fontId="4" fillId="0" borderId="2" xfId="2" applyNumberFormat="1" applyFont="1" applyBorder="1" applyAlignment="1">
      <alignment horizontal="right"/>
    </xf>
    <xf numFmtId="166" fontId="4" fillId="2" borderId="2" xfId="2" applyNumberFormat="1" applyFont="1" applyFill="1" applyBorder="1" applyAlignment="1">
      <alignment horizontal="right"/>
    </xf>
    <xf numFmtId="166" fontId="4" fillId="4" borderId="2" xfId="2" applyNumberFormat="1" applyFont="1" applyFill="1" applyBorder="1" applyAlignment="1">
      <alignment horizontal="right"/>
    </xf>
    <xf numFmtId="166" fontId="4" fillId="3" borderId="2" xfId="2" applyNumberFormat="1" applyFont="1" applyFill="1" applyBorder="1" applyAlignment="1">
      <alignment horizontal="right"/>
    </xf>
    <xf numFmtId="166" fontId="3" fillId="0" borderId="3" xfId="2" applyNumberFormat="1" applyFont="1" applyBorder="1" applyAlignment="1">
      <alignment horizontal="right"/>
    </xf>
    <xf numFmtId="166" fontId="3" fillId="2" borderId="6" xfId="2" applyNumberFormat="1" applyFont="1" applyFill="1" applyBorder="1" applyAlignment="1">
      <alignment horizontal="right"/>
    </xf>
    <xf numFmtId="166" fontId="3" fillId="4" borderId="6" xfId="2" applyNumberFormat="1" applyFont="1" applyFill="1" applyBorder="1" applyAlignment="1">
      <alignment horizontal="right"/>
    </xf>
    <xf numFmtId="166" fontId="3" fillId="3" borderId="6" xfId="2" applyNumberFormat="1" applyFont="1" applyFill="1" applyBorder="1" applyAlignment="1">
      <alignment horizontal="right"/>
    </xf>
    <xf numFmtId="166" fontId="4" fillId="2" borderId="0" xfId="2" applyNumberFormat="1" applyFont="1" applyFill="1"/>
    <xf numFmtId="4" fontId="3" fillId="0" borderId="5" xfId="0" applyNumberFormat="1" applyFont="1" applyFill="1" applyBorder="1" applyAlignment="1">
      <alignment horizontal="left"/>
    </xf>
    <xf numFmtId="0" fontId="0" fillId="0" borderId="0" xfId="0" applyFill="1"/>
    <xf numFmtId="0" fontId="2" fillId="0" borderId="0" xfId="0" applyFont="1" applyFill="1" applyBorder="1" applyAlignment="1">
      <alignment horizontal="left"/>
    </xf>
    <xf numFmtId="166" fontId="3" fillId="2" borderId="3" xfId="2" applyNumberFormat="1" applyFont="1" applyFill="1" applyBorder="1" applyAlignment="1">
      <alignment horizontal="right"/>
    </xf>
    <xf numFmtId="166" fontId="3" fillId="4" borderId="3" xfId="2" applyNumberFormat="1" applyFont="1" applyFill="1" applyBorder="1" applyAlignment="1">
      <alignment horizontal="right"/>
    </xf>
    <xf numFmtId="164" fontId="12" fillId="0" borderId="0" xfId="0" applyNumberFormat="1" applyFont="1" applyBorder="1" applyAlignment="1">
      <alignment horizontal="right"/>
    </xf>
    <xf numFmtId="0" fontId="0" fillId="0" borderId="0" xfId="0" applyBorder="1"/>
    <xf numFmtId="4" fontId="4" fillId="0" borderId="0" xfId="0" applyNumberFormat="1" applyFont="1" applyAlignment="1">
      <alignment horizontal="left"/>
    </xf>
    <xf numFmtId="4" fontId="4" fillId="0" borderId="2" xfId="0" applyNumberFormat="1" applyFont="1" applyBorder="1" applyAlignment="1">
      <alignment horizontal="left"/>
    </xf>
    <xf numFmtId="4" fontId="4" fillId="0" borderId="3" xfId="0" applyNumberFormat="1" applyFont="1" applyBorder="1" applyAlignment="1">
      <alignment horizontal="left"/>
    </xf>
    <xf numFmtId="4" fontId="2" fillId="0" borderId="5" xfId="0" applyNumberFormat="1" applyFont="1" applyBorder="1" applyAlignment="1">
      <alignment horizontal="left"/>
    </xf>
    <xf numFmtId="166" fontId="2" fillId="0" borderId="0" xfId="2" applyNumberFormat="1" applyFont="1" applyBorder="1" applyAlignment="1">
      <alignment horizontal="right"/>
    </xf>
    <xf numFmtId="4" fontId="10" fillId="0" borderId="5" xfId="0" applyNumberFormat="1" applyFont="1" applyBorder="1" applyAlignment="1">
      <alignment horizontal="left"/>
    </xf>
    <xf numFmtId="166" fontId="10" fillId="0" borderId="4" xfId="2" applyNumberFormat="1" applyFont="1" applyBorder="1" applyAlignment="1">
      <alignment horizontal="right"/>
    </xf>
    <xf numFmtId="165" fontId="4" fillId="0" borderId="0" xfId="0" applyNumberFormat="1" applyFont="1" applyFill="1"/>
    <xf numFmtId="165" fontId="0" fillId="0" borderId="0" xfId="0" applyNumberFormat="1" applyFill="1"/>
    <xf numFmtId="0" fontId="3" fillId="0" borderId="0" xfId="0" applyFont="1" applyBorder="1" applyAlignment="1">
      <alignment horizontal="left"/>
    </xf>
    <xf numFmtId="165" fontId="0" fillId="0" borderId="0" xfId="0" applyNumberFormat="1" applyBorder="1"/>
    <xf numFmtId="0" fontId="17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/>
    <xf numFmtId="164" fontId="4" fillId="0" borderId="0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65" fontId="0" fillId="2" borderId="0" xfId="0" applyNumberFormat="1" applyFill="1" applyBorder="1"/>
    <xf numFmtId="165" fontId="0" fillId="4" borderId="0" xfId="0" applyNumberFormat="1" applyFill="1" applyBorder="1"/>
    <xf numFmtId="165" fontId="0" fillId="3" borderId="0" xfId="0" applyNumberFormat="1" applyFill="1" applyBorder="1"/>
    <xf numFmtId="0" fontId="4" fillId="0" borderId="0" xfId="0" applyFont="1" applyBorder="1" applyAlignment="1">
      <alignment horizontal="left"/>
    </xf>
    <xf numFmtId="0" fontId="4" fillId="0" borderId="0" xfId="0" applyFont="1" applyBorder="1"/>
    <xf numFmtId="0" fontId="5" fillId="0" borderId="0" xfId="0" applyFont="1" applyBorder="1" applyAlignment="1">
      <alignment horizontal="center"/>
    </xf>
    <xf numFmtId="0" fontId="17" fillId="0" borderId="0" xfId="0" applyFont="1" applyBorder="1" applyAlignment="1">
      <alignment horizontal="left"/>
    </xf>
    <xf numFmtId="164" fontId="12" fillId="0" borderId="0" xfId="0" applyNumberFormat="1" applyFont="1" applyFill="1" applyBorder="1" applyAlignment="1">
      <alignment horizontal="right"/>
    </xf>
    <xf numFmtId="0" fontId="14" fillId="0" borderId="0" xfId="0" applyFont="1" applyBorder="1"/>
    <xf numFmtId="0" fontId="5" fillId="0" borderId="0" xfId="0" applyFont="1" applyBorder="1" applyAlignment="1"/>
    <xf numFmtId="0" fontId="0" fillId="0" borderId="0" xfId="0" applyFill="1" applyBorder="1"/>
    <xf numFmtId="167" fontId="3" fillId="0" borderId="0" xfId="1" applyNumberFormat="1" applyFont="1" applyBorder="1" applyAlignment="1">
      <alignment horizontal="right"/>
    </xf>
    <xf numFmtId="166" fontId="4" fillId="0" borderId="0" xfId="2" applyNumberFormat="1" applyFont="1" applyBorder="1" applyAlignment="1">
      <alignment horizontal="right"/>
    </xf>
    <xf numFmtId="167" fontId="12" fillId="0" borderId="0" xfId="1" applyNumberFormat="1" applyFont="1" applyBorder="1" applyAlignment="1">
      <alignment horizontal="right"/>
    </xf>
    <xf numFmtId="0" fontId="5" fillId="0" borderId="0" xfId="0" applyFont="1" applyBorder="1" applyAlignment="1">
      <alignment horizontal="left"/>
    </xf>
    <xf numFmtId="0" fontId="5" fillId="5" borderId="3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left"/>
    </xf>
    <xf numFmtId="0" fontId="4" fillId="5" borderId="8" xfId="0" applyFont="1" applyFill="1" applyBorder="1" applyAlignment="1">
      <alignment horizontal="left"/>
    </xf>
    <xf numFmtId="0" fontId="3" fillId="5" borderId="8" xfId="0" applyFont="1" applyFill="1" applyBorder="1" applyAlignment="1">
      <alignment horizontal="left"/>
    </xf>
    <xf numFmtId="0" fontId="5" fillId="5" borderId="17" xfId="0" applyFont="1" applyFill="1" applyBorder="1" applyAlignment="1">
      <alignment horizontal="center"/>
    </xf>
    <xf numFmtId="0" fontId="5" fillId="5" borderId="18" xfId="0" applyFont="1" applyFill="1" applyBorder="1" applyAlignment="1">
      <alignment horizontal="center"/>
    </xf>
    <xf numFmtId="0" fontId="17" fillId="5" borderId="19" xfId="0" applyFont="1" applyFill="1" applyBorder="1" applyAlignment="1">
      <alignment horizontal="left"/>
    </xf>
    <xf numFmtId="0" fontId="17" fillId="5" borderId="21" xfId="0" applyFont="1" applyFill="1" applyBorder="1" applyAlignment="1">
      <alignment horizontal="left"/>
    </xf>
    <xf numFmtId="166" fontId="4" fillId="5" borderId="16" xfId="2" applyNumberFormat="1" applyFont="1" applyFill="1" applyBorder="1" applyAlignment="1">
      <alignment horizontal="right"/>
    </xf>
    <xf numFmtId="0" fontId="3" fillId="5" borderId="7" xfId="0" applyFont="1" applyFill="1" applyBorder="1" applyAlignment="1">
      <alignment horizontal="left"/>
    </xf>
    <xf numFmtId="166" fontId="3" fillId="5" borderId="9" xfId="2" applyNumberFormat="1" applyFont="1" applyFill="1" applyBorder="1" applyAlignment="1">
      <alignment horizontal="right"/>
    </xf>
    <xf numFmtId="164" fontId="0" fillId="0" borderId="0" xfId="0" applyNumberFormat="1" applyBorder="1"/>
    <xf numFmtId="9" fontId="0" fillId="0" borderId="0" xfId="3" applyFont="1" applyBorder="1"/>
    <xf numFmtId="167" fontId="0" fillId="0" borderId="0" xfId="0" applyNumberFormat="1"/>
    <xf numFmtId="168" fontId="12" fillId="5" borderId="8" xfId="0" applyNumberFormat="1" applyFont="1" applyFill="1" applyBorder="1" applyAlignment="1">
      <alignment horizontal="right"/>
    </xf>
    <xf numFmtId="168" fontId="3" fillId="5" borderId="8" xfId="0" applyNumberFormat="1" applyFont="1" applyFill="1" applyBorder="1" applyAlignment="1">
      <alignment horizontal="left"/>
    </xf>
    <xf numFmtId="9" fontId="0" fillId="0" borderId="0" xfId="3" applyFont="1"/>
    <xf numFmtId="9" fontId="4" fillId="0" borderId="0" xfId="3" applyFont="1"/>
    <xf numFmtId="9" fontId="3" fillId="0" borderId="0" xfId="3" applyFont="1"/>
    <xf numFmtId="166" fontId="3" fillId="0" borderId="0" xfId="2" applyNumberFormat="1" applyFont="1" applyFill="1" applyBorder="1" applyAlignment="1">
      <alignment horizontal="right"/>
    </xf>
    <xf numFmtId="165" fontId="0" fillId="0" borderId="0" xfId="0" applyNumberFormat="1" applyFill="1" applyBorder="1"/>
    <xf numFmtId="166" fontId="4" fillId="0" borderId="0" xfId="2" applyNumberFormat="1" applyFont="1" applyFill="1" applyBorder="1"/>
    <xf numFmtId="165" fontId="4" fillId="0" borderId="0" xfId="0" applyNumberFormat="1" applyFont="1" applyFill="1" applyBorder="1"/>
    <xf numFmtId="165" fontId="2" fillId="0" borderId="0" xfId="0" applyNumberFormat="1" applyFont="1" applyFill="1" applyBorder="1" applyAlignment="1">
      <alignment horizontal="center"/>
    </xf>
    <xf numFmtId="166" fontId="4" fillId="0" borderId="0" xfId="2" applyNumberFormat="1" applyFont="1" applyFill="1" applyBorder="1" applyAlignment="1">
      <alignment horizontal="right"/>
    </xf>
    <xf numFmtId="166" fontId="2" fillId="0" borderId="0" xfId="2" applyNumberFormat="1" applyFont="1" applyFill="1" applyBorder="1" applyAlignment="1">
      <alignment horizontal="right"/>
    </xf>
    <xf numFmtId="166" fontId="10" fillId="0" borderId="0" xfId="2" applyNumberFormat="1" applyFont="1" applyFill="1" applyBorder="1" applyAlignment="1">
      <alignment horizontal="right"/>
    </xf>
    <xf numFmtId="164" fontId="15" fillId="0" borderId="0" xfId="0" applyNumberFormat="1" applyFont="1" applyFill="1" applyBorder="1"/>
    <xf numFmtId="164" fontId="4" fillId="0" borderId="0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166" fontId="4" fillId="2" borderId="0" xfId="2" applyNumberFormat="1" applyFont="1" applyFill="1" applyBorder="1" applyAlignment="1">
      <alignment horizontal="right"/>
    </xf>
    <xf numFmtId="166" fontId="4" fillId="4" borderId="0" xfId="2" applyNumberFormat="1" applyFont="1" applyFill="1" applyBorder="1" applyAlignment="1">
      <alignment horizontal="right"/>
    </xf>
    <xf numFmtId="9" fontId="3" fillId="0" borderId="0" xfId="3" applyFont="1" applyFill="1" applyBorder="1" applyAlignment="1">
      <alignment horizontal="right"/>
    </xf>
    <xf numFmtId="166" fontId="4" fillId="0" borderId="0" xfId="2" applyNumberFormat="1" applyFont="1" applyFill="1" applyAlignment="1">
      <alignment horizontal="right"/>
    </xf>
    <xf numFmtId="167" fontId="0" fillId="0" borderId="0" xfId="1" applyNumberFormat="1" applyFont="1" applyBorder="1"/>
    <xf numFmtId="9" fontId="3" fillId="0" borderId="4" xfId="3" applyFont="1" applyFill="1" applyBorder="1" applyAlignment="1">
      <alignment horizontal="right"/>
    </xf>
    <xf numFmtId="166" fontId="0" fillId="0" borderId="0" xfId="2" applyNumberFormat="1" applyFont="1" applyBorder="1"/>
    <xf numFmtId="0" fontId="4" fillId="5" borderId="13" xfId="0" applyFont="1" applyFill="1" applyBorder="1" applyAlignment="1">
      <alignment horizontal="left"/>
    </xf>
    <xf numFmtId="0" fontId="4" fillId="5" borderId="14" xfId="0" applyFont="1" applyFill="1" applyBorder="1" applyAlignment="1">
      <alignment horizontal="left"/>
    </xf>
    <xf numFmtId="0" fontId="4" fillId="5" borderId="14" xfId="0" applyFont="1" applyFill="1" applyBorder="1"/>
    <xf numFmtId="168" fontId="4" fillId="5" borderId="13" xfId="0" applyNumberFormat="1" applyFont="1" applyFill="1" applyBorder="1" applyAlignment="1">
      <alignment horizontal="right"/>
    </xf>
    <xf numFmtId="168" fontId="4" fillId="5" borderId="14" xfId="1" applyNumberFormat="1" applyFont="1" applyFill="1" applyBorder="1" applyAlignment="1">
      <alignment horizontal="right"/>
    </xf>
    <xf numFmtId="168" fontId="4" fillId="5" borderId="14" xfId="0" applyNumberFormat="1" applyFont="1" applyFill="1" applyBorder="1" applyAlignment="1">
      <alignment horizontal="right"/>
    </xf>
    <xf numFmtId="168" fontId="17" fillId="5" borderId="13" xfId="0" applyNumberFormat="1" applyFont="1" applyFill="1" applyBorder="1" applyAlignment="1">
      <alignment horizontal="left"/>
    </xf>
    <xf numFmtId="168" fontId="17" fillId="5" borderId="14" xfId="0" applyNumberFormat="1" applyFont="1" applyFill="1" applyBorder="1" applyAlignment="1">
      <alignment horizontal="left"/>
    </xf>
    <xf numFmtId="168" fontId="4" fillId="5" borderId="13" xfId="0" applyNumberFormat="1" applyFont="1" applyFill="1" applyBorder="1" applyAlignment="1">
      <alignment horizontal="left"/>
    </xf>
    <xf numFmtId="168" fontId="4" fillId="5" borderId="14" xfId="0" applyNumberFormat="1" applyFont="1" applyFill="1" applyBorder="1" applyAlignment="1">
      <alignment horizontal="left"/>
    </xf>
    <xf numFmtId="168" fontId="4" fillId="5" borderId="14" xfId="0" applyNumberFormat="1" applyFont="1" applyFill="1" applyBorder="1"/>
    <xf numFmtId="168" fontId="4" fillId="5" borderId="20" xfId="0" applyNumberFormat="1" applyFont="1" applyFill="1" applyBorder="1" applyAlignment="1">
      <alignment horizontal="right"/>
    </xf>
    <xf numFmtId="168" fontId="4" fillId="5" borderId="22" xfId="0" applyNumberFormat="1" applyFont="1" applyFill="1" applyBorder="1" applyAlignment="1">
      <alignment horizontal="right"/>
    </xf>
    <xf numFmtId="168" fontId="4" fillId="5" borderId="22" xfId="1" applyNumberFormat="1" applyFont="1" applyFill="1" applyBorder="1" applyAlignment="1">
      <alignment horizontal="right"/>
    </xf>
    <xf numFmtId="0" fontId="0" fillId="0" borderId="0" xfId="0" applyAlignment="1"/>
    <xf numFmtId="0" fontId="0" fillId="0" borderId="2" xfId="0" applyBorder="1" applyAlignment="1"/>
    <xf numFmtId="4" fontId="4" fillId="0" borderId="5" xfId="0" applyNumberFormat="1" applyFont="1" applyBorder="1" applyAlignment="1">
      <alignment horizontal="left"/>
    </xf>
    <xf numFmtId="0" fontId="12" fillId="0" borderId="0" xfId="0" applyFont="1" applyAlignment="1">
      <alignment horizontal="left"/>
    </xf>
    <xf numFmtId="4" fontId="12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4" fontId="4" fillId="0" borderId="0" xfId="0" applyNumberFormat="1" applyFont="1" applyBorder="1" applyAlignment="1">
      <alignment horizontal="left"/>
    </xf>
    <xf numFmtId="0" fontId="0" fillId="0" borderId="0" xfId="0" applyBorder="1" applyAlignment="1"/>
    <xf numFmtId="0" fontId="3" fillId="5" borderId="15" xfId="0" applyFont="1" applyFill="1" applyBorder="1" applyAlignment="1">
      <alignment horizontal="left" vertical="top"/>
    </xf>
    <xf numFmtId="0" fontId="3" fillId="5" borderId="0" xfId="0" applyFont="1" applyFill="1" applyBorder="1" applyAlignment="1">
      <alignment horizontal="left" vertical="top"/>
    </xf>
    <xf numFmtId="169" fontId="0" fillId="0" borderId="0" xfId="0" applyNumberFormat="1"/>
    <xf numFmtId="169" fontId="4" fillId="0" borderId="0" xfId="0" applyNumberFormat="1" applyFont="1"/>
    <xf numFmtId="169" fontId="4" fillId="0" borderId="5" xfId="2" applyNumberFormat="1" applyFont="1" applyBorder="1" applyAlignment="1">
      <alignment horizontal="right"/>
    </xf>
    <xf numFmtId="169" fontId="3" fillId="0" borderId="0" xfId="2" applyNumberFormat="1" applyFont="1" applyAlignment="1">
      <alignment horizontal="right"/>
    </xf>
    <xf numFmtId="169" fontId="4" fillId="0" borderId="0" xfId="2" applyNumberFormat="1" applyFont="1" applyAlignment="1">
      <alignment horizontal="right"/>
    </xf>
    <xf numFmtId="169" fontId="3" fillId="0" borderId="4" xfId="2" applyNumberFormat="1" applyFont="1" applyFill="1" applyBorder="1" applyAlignment="1">
      <alignment horizontal="right"/>
    </xf>
    <xf numFmtId="169" fontId="4" fillId="0" borderId="0" xfId="2" applyNumberFormat="1" applyFont="1" applyFill="1"/>
    <xf numFmtId="169" fontId="0" fillId="0" borderId="0" xfId="0" applyNumberFormat="1" applyBorder="1"/>
    <xf numFmtId="0" fontId="3" fillId="5" borderId="15" xfId="0" applyFont="1" applyFill="1" applyBorder="1" applyAlignment="1">
      <alignment horizontal="left" vertical="top"/>
    </xf>
    <xf numFmtId="0" fontId="3" fillId="5" borderId="0" xfId="0" applyFont="1" applyFill="1" applyBorder="1" applyAlignment="1">
      <alignment horizontal="left" vertical="top"/>
    </xf>
    <xf numFmtId="0" fontId="3" fillId="5" borderId="15" xfId="0" applyFont="1" applyFill="1" applyBorder="1" applyAlignment="1">
      <alignment horizontal="left" vertical="top"/>
    </xf>
    <xf numFmtId="0" fontId="3" fillId="5" borderId="0" xfId="0" applyFont="1" applyFill="1" applyBorder="1" applyAlignment="1">
      <alignment horizontal="left" vertical="top"/>
    </xf>
    <xf numFmtId="43" fontId="4" fillId="0" borderId="0" xfId="0" applyNumberFormat="1" applyFont="1" applyBorder="1" applyAlignment="1">
      <alignment horizontal="left"/>
    </xf>
    <xf numFmtId="166" fontId="4" fillId="0" borderId="0" xfId="2" applyNumberFormat="1" applyFont="1" applyFill="1" applyBorder="1" applyAlignment="1">
      <alignment horizontal="left"/>
    </xf>
    <xf numFmtId="169" fontId="10" fillId="0" borderId="0" xfId="0" applyNumberFormat="1" applyFont="1" applyAlignment="1">
      <alignment horizontal="center"/>
    </xf>
    <xf numFmtId="9" fontId="4" fillId="0" borderId="0" xfId="3" applyFont="1" applyFill="1"/>
    <xf numFmtId="166" fontId="4" fillId="0" borderId="0" xfId="0" applyNumberFormat="1" applyFont="1" applyFill="1" applyBorder="1" applyAlignment="1">
      <alignment horizontal="left"/>
    </xf>
    <xf numFmtId="164" fontId="12" fillId="0" borderId="0" xfId="0" applyNumberFormat="1" applyFont="1" applyBorder="1" applyAlignment="1">
      <alignment horizontal="left"/>
    </xf>
    <xf numFmtId="0" fontId="5" fillId="5" borderId="10" xfId="0" applyFont="1" applyFill="1" applyBorder="1" applyAlignment="1">
      <alignment horizontal="centerContinuous"/>
    </xf>
    <xf numFmtId="0" fontId="5" fillId="5" borderId="11" xfId="0" applyFont="1" applyFill="1" applyBorder="1" applyAlignment="1">
      <alignment horizontal="centerContinuous"/>
    </xf>
    <xf numFmtId="0" fontId="5" fillId="5" borderId="12" xfId="0" applyFont="1" applyFill="1" applyBorder="1" applyAlignment="1">
      <alignment horizontal="centerContinuous"/>
    </xf>
    <xf numFmtId="0" fontId="4" fillId="0" borderId="0" xfId="0" applyFont="1" applyFill="1" applyBorder="1" applyAlignment="1">
      <alignment horizontal="right"/>
    </xf>
    <xf numFmtId="0" fontId="3" fillId="5" borderId="0" xfId="0" applyFont="1" applyFill="1" applyBorder="1" applyAlignment="1">
      <alignment horizontal="left"/>
    </xf>
    <xf numFmtId="166" fontId="3" fillId="5" borderId="0" xfId="2" applyNumberFormat="1" applyFont="1" applyFill="1" applyBorder="1" applyAlignment="1">
      <alignment horizontal="right"/>
    </xf>
    <xf numFmtId="166" fontId="13" fillId="5" borderId="9" xfId="2" applyNumberFormat="1" applyFont="1" applyFill="1" applyBorder="1" applyAlignment="1">
      <alignment horizontal="right"/>
    </xf>
    <xf numFmtId="9" fontId="4" fillId="0" borderId="0" xfId="3" applyFont="1" applyFill="1" applyBorder="1" applyAlignment="1">
      <alignment horizontal="right"/>
    </xf>
    <xf numFmtId="43" fontId="3" fillId="0" borderId="0" xfId="2" applyFont="1" applyBorder="1" applyAlignment="1">
      <alignment horizontal="left"/>
    </xf>
    <xf numFmtId="166" fontId="4" fillId="0" borderId="0" xfId="3" applyNumberFormat="1" applyFont="1"/>
    <xf numFmtId="0" fontId="19" fillId="0" borderId="0" xfId="0" applyFont="1" applyAlignment="1"/>
    <xf numFmtId="166" fontId="19" fillId="0" borderId="0" xfId="2" applyNumberFormat="1" applyFont="1"/>
    <xf numFmtId="165" fontId="19" fillId="0" borderId="0" xfId="0" applyNumberFormat="1" applyFont="1"/>
    <xf numFmtId="169" fontId="19" fillId="0" borderId="0" xfId="0" applyNumberFormat="1" applyFont="1"/>
    <xf numFmtId="165" fontId="19" fillId="0" borderId="0" xfId="0" applyNumberFormat="1" applyFont="1" applyFill="1"/>
    <xf numFmtId="0" fontId="19" fillId="0" borderId="0" xfId="0" applyFont="1"/>
    <xf numFmtId="164" fontId="19" fillId="0" borderId="0" xfId="0" applyNumberFormat="1" applyFont="1"/>
    <xf numFmtId="0" fontId="19" fillId="0" borderId="0" xfId="0" applyFont="1" applyBorder="1"/>
    <xf numFmtId="166" fontId="23" fillId="0" borderId="0" xfId="2" applyNumberFormat="1" applyFont="1"/>
    <xf numFmtId="165" fontId="23" fillId="0" borderId="0" xfId="0" applyNumberFormat="1" applyFont="1"/>
    <xf numFmtId="169" fontId="23" fillId="0" borderId="0" xfId="0" applyNumberFormat="1" applyFont="1"/>
    <xf numFmtId="165" fontId="23" fillId="2" borderId="0" xfId="0" applyNumberFormat="1" applyFont="1" applyFill="1"/>
    <xf numFmtId="165" fontId="23" fillId="4" borderId="0" xfId="0" applyNumberFormat="1" applyFont="1" applyFill="1"/>
    <xf numFmtId="165" fontId="23" fillId="3" borderId="0" xfId="0" applyNumberFormat="1" applyFont="1" applyFill="1"/>
    <xf numFmtId="0" fontId="26" fillId="0" borderId="0" xfId="0" applyFont="1" applyBorder="1" applyAlignment="1">
      <alignment horizontal="left"/>
    </xf>
    <xf numFmtId="167" fontId="19" fillId="0" borderId="0" xfId="0" applyNumberFormat="1" applyFont="1"/>
    <xf numFmtId="0" fontId="21" fillId="0" borderId="0" xfId="0" applyFont="1" applyBorder="1" applyAlignment="1"/>
    <xf numFmtId="0" fontId="23" fillId="0" borderId="0" xfId="0" applyFont="1" applyFill="1" applyBorder="1" applyAlignment="1">
      <alignment horizontal="left"/>
    </xf>
    <xf numFmtId="164" fontId="27" fillId="0" borderId="0" xfId="0" applyNumberFormat="1" applyFont="1" applyBorder="1" applyAlignment="1">
      <alignment horizontal="right"/>
    </xf>
    <xf numFmtId="0" fontId="20" fillId="0" borderId="0" xfId="0" applyFont="1"/>
    <xf numFmtId="0" fontId="22" fillId="0" borderId="0" xfId="0" applyFont="1" applyFill="1" applyBorder="1" applyAlignment="1">
      <alignment horizontal="left"/>
    </xf>
    <xf numFmtId="0" fontId="23" fillId="0" borderId="0" xfId="0" applyFont="1" applyBorder="1" applyAlignment="1">
      <alignment horizontal="left"/>
    </xf>
    <xf numFmtId="43" fontId="23" fillId="0" borderId="0" xfId="0" applyNumberFormat="1" applyFont="1" applyBorder="1" applyAlignment="1">
      <alignment horizontal="left"/>
    </xf>
    <xf numFmtId="0" fontId="19" fillId="0" borderId="0" xfId="0" applyFont="1" applyFill="1"/>
    <xf numFmtId="0" fontId="19" fillId="0" borderId="0" xfId="0" applyFont="1" applyFill="1" applyBorder="1"/>
    <xf numFmtId="0" fontId="23" fillId="0" borderId="0" xfId="0" applyFont="1" applyFill="1" applyBorder="1"/>
    <xf numFmtId="164" fontId="23" fillId="0" borderId="0" xfId="0" applyNumberFormat="1" applyFont="1" applyBorder="1" applyAlignment="1">
      <alignment horizontal="right"/>
    </xf>
    <xf numFmtId="167" fontId="26" fillId="0" borderId="0" xfId="1" applyNumberFormat="1" applyFont="1" applyBorder="1" applyAlignment="1">
      <alignment horizontal="right"/>
    </xf>
    <xf numFmtId="43" fontId="26" fillId="0" borderId="0" xfId="2" applyFont="1" applyBorder="1" applyAlignment="1">
      <alignment horizontal="left"/>
    </xf>
    <xf numFmtId="0" fontId="28" fillId="0" borderId="0" xfId="0" applyFont="1" applyBorder="1"/>
    <xf numFmtId="0" fontId="28" fillId="0" borderId="0" xfId="0" applyFont="1"/>
    <xf numFmtId="164" fontId="19" fillId="0" borderId="0" xfId="0" applyNumberFormat="1" applyFont="1" applyBorder="1"/>
    <xf numFmtId="4" fontId="24" fillId="0" borderId="5" xfId="0" applyNumberFormat="1" applyFont="1" applyBorder="1" applyAlignment="1">
      <alignment horizontal="left"/>
    </xf>
    <xf numFmtId="166" fontId="24" fillId="0" borderId="4" xfId="2" applyNumberFormat="1" applyFont="1" applyBorder="1" applyAlignment="1">
      <alignment horizontal="right"/>
    </xf>
    <xf numFmtId="0" fontId="24" fillId="0" borderId="0" xfId="0" applyFont="1" applyAlignment="1">
      <alignment horizontal="left"/>
    </xf>
    <xf numFmtId="166" fontId="19" fillId="0" borderId="0" xfId="2" applyNumberFormat="1" applyFont="1" applyFill="1" applyBorder="1" applyAlignment="1">
      <alignment horizontal="right"/>
    </xf>
    <xf numFmtId="4" fontId="19" fillId="0" borderId="0" xfId="0" applyNumberFormat="1" applyFont="1" applyAlignment="1">
      <alignment horizontal="left"/>
    </xf>
    <xf numFmtId="166" fontId="24" fillId="0" borderId="0" xfId="2" applyNumberFormat="1" applyFont="1" applyAlignment="1">
      <alignment horizontal="right"/>
    </xf>
    <xf numFmtId="166" fontId="19" fillId="0" borderId="0" xfId="2" applyNumberFormat="1" applyFont="1" applyAlignment="1">
      <alignment horizontal="right"/>
    </xf>
    <xf numFmtId="166" fontId="19" fillId="2" borderId="0" xfId="2" applyNumberFormat="1" applyFont="1" applyFill="1" applyAlignment="1">
      <alignment horizontal="right"/>
    </xf>
    <xf numFmtId="166" fontId="19" fillId="4" borderId="0" xfId="2" applyNumberFormat="1" applyFont="1" applyFill="1" applyAlignment="1">
      <alignment horizontal="right"/>
    </xf>
    <xf numFmtId="166" fontId="19" fillId="3" borderId="0" xfId="2" applyNumberFormat="1" applyFont="1" applyFill="1" applyAlignment="1">
      <alignment horizontal="right"/>
    </xf>
    <xf numFmtId="166" fontId="24" fillId="5" borderId="9" xfId="2" applyNumberFormat="1" applyFont="1" applyFill="1" applyBorder="1" applyAlignment="1">
      <alignment horizontal="right"/>
    </xf>
    <xf numFmtId="166" fontId="19" fillId="0" borderId="0" xfId="2" applyNumberFormat="1" applyFont="1" applyBorder="1" applyAlignment="1">
      <alignment horizontal="right"/>
    </xf>
    <xf numFmtId="0" fontId="24" fillId="0" borderId="0" xfId="0" applyFont="1" applyBorder="1" applyAlignment="1">
      <alignment horizontal="left"/>
    </xf>
    <xf numFmtId="0" fontId="24" fillId="5" borderId="15" xfId="0" applyFont="1" applyFill="1" applyBorder="1" applyAlignment="1">
      <alignment horizontal="left" vertical="top"/>
    </xf>
    <xf numFmtId="166" fontId="28" fillId="0" borderId="0" xfId="2" applyNumberFormat="1" applyFont="1" applyAlignment="1">
      <alignment horizontal="right"/>
    </xf>
    <xf numFmtId="0" fontId="29" fillId="0" borderId="0" xfId="0" applyFont="1" applyBorder="1" applyAlignment="1"/>
    <xf numFmtId="0" fontId="30" fillId="0" borderId="0" xfId="0" applyFont="1" applyBorder="1" applyAlignment="1">
      <alignment horizontal="left"/>
    </xf>
    <xf numFmtId="0" fontId="19" fillId="0" borderId="0" xfId="0" applyFont="1" applyFill="1" applyBorder="1" applyAlignment="1">
      <alignment horizontal="left"/>
    </xf>
    <xf numFmtId="0" fontId="28" fillId="0" borderId="0" xfId="0" applyFont="1" applyAlignment="1">
      <alignment horizontal="left"/>
    </xf>
    <xf numFmtId="0" fontId="30" fillId="0" borderId="0" xfId="0" applyFont="1" applyFill="1" applyBorder="1" applyAlignment="1">
      <alignment horizontal="left"/>
    </xf>
    <xf numFmtId="0" fontId="24" fillId="5" borderId="7" xfId="0" applyFont="1" applyFill="1" applyBorder="1" applyAlignment="1">
      <alignment horizontal="left"/>
    </xf>
    <xf numFmtId="0" fontId="24" fillId="5" borderId="8" xfId="0" applyFont="1" applyFill="1" applyBorder="1" applyAlignment="1">
      <alignment horizontal="left"/>
    </xf>
    <xf numFmtId="4" fontId="24" fillId="0" borderId="3" xfId="0" applyNumberFormat="1" applyFont="1" applyBorder="1" applyAlignment="1">
      <alignment horizontal="left"/>
    </xf>
    <xf numFmtId="166" fontId="24" fillId="2" borderId="4" xfId="2" applyNumberFormat="1" applyFont="1" applyFill="1" applyBorder="1" applyAlignment="1">
      <alignment horizontal="right"/>
    </xf>
    <xf numFmtId="166" fontId="24" fillId="4" borderId="4" xfId="2" applyNumberFormat="1" applyFont="1" applyFill="1" applyBorder="1" applyAlignment="1">
      <alignment horizontal="right"/>
    </xf>
    <xf numFmtId="166" fontId="24" fillId="3" borderId="4" xfId="2" applyNumberFormat="1" applyFont="1" applyFill="1" applyBorder="1" applyAlignment="1">
      <alignment horizontal="right"/>
    </xf>
    <xf numFmtId="0" fontId="24" fillId="0" borderId="0" xfId="0" applyFont="1" applyFill="1" applyBorder="1" applyAlignment="1">
      <alignment horizontal="left"/>
    </xf>
    <xf numFmtId="166" fontId="19" fillId="0" borderId="0" xfId="2" applyNumberFormat="1" applyFont="1" applyFill="1"/>
    <xf numFmtId="166" fontId="19" fillId="0" borderId="0" xfId="2" applyNumberFormat="1" applyFont="1" applyFill="1" applyAlignment="1">
      <alignment horizontal="right"/>
    </xf>
    <xf numFmtId="0" fontId="19" fillId="0" borderId="0" xfId="0" applyFont="1" applyAlignment="1">
      <alignment horizontal="left"/>
    </xf>
    <xf numFmtId="0" fontId="19" fillId="0" borderId="0" xfId="0" applyFont="1" applyBorder="1" applyAlignment="1">
      <alignment horizontal="left" vertical="top"/>
    </xf>
    <xf numFmtId="166" fontId="19" fillId="2" borderId="0" xfId="2" applyNumberFormat="1" applyFont="1" applyFill="1" applyBorder="1" applyAlignment="1">
      <alignment horizontal="right"/>
    </xf>
    <xf numFmtId="166" fontId="19" fillId="4" borderId="0" xfId="2" applyNumberFormat="1" applyFont="1" applyFill="1" applyBorder="1" applyAlignment="1">
      <alignment horizontal="right"/>
    </xf>
    <xf numFmtId="0" fontId="19" fillId="0" borderId="2" xfId="0" applyFont="1" applyBorder="1" applyAlignment="1">
      <alignment horizontal="left" vertical="top"/>
    </xf>
    <xf numFmtId="166" fontId="19" fillId="0" borderId="2" xfId="2" applyNumberFormat="1" applyFont="1" applyBorder="1" applyAlignment="1">
      <alignment horizontal="right"/>
    </xf>
    <xf numFmtId="166" fontId="19" fillId="2" borderId="2" xfId="2" applyNumberFormat="1" applyFont="1" applyFill="1" applyBorder="1" applyAlignment="1">
      <alignment horizontal="right"/>
    </xf>
    <xf numFmtId="166" fontId="19" fillId="4" borderId="2" xfId="2" applyNumberFormat="1" applyFont="1" applyFill="1" applyBorder="1" applyAlignment="1">
      <alignment horizontal="right"/>
    </xf>
    <xf numFmtId="166" fontId="19" fillId="3" borderId="2" xfId="2" applyNumberFormat="1" applyFont="1" applyFill="1" applyBorder="1" applyAlignment="1">
      <alignment horizontal="right"/>
    </xf>
    <xf numFmtId="4" fontId="19" fillId="0" borderId="0" xfId="0" applyNumberFormat="1" applyFont="1" applyBorder="1" applyAlignment="1">
      <alignment horizontal="left"/>
    </xf>
    <xf numFmtId="166" fontId="24" fillId="0" borderId="3" xfId="2" applyNumberFormat="1" applyFont="1" applyBorder="1" applyAlignment="1">
      <alignment horizontal="right"/>
    </xf>
    <xf numFmtId="166" fontId="24" fillId="2" borderId="6" xfId="2" applyNumberFormat="1" applyFont="1" applyFill="1" applyBorder="1" applyAlignment="1">
      <alignment horizontal="right"/>
    </xf>
    <xf numFmtId="166" fontId="24" fillId="4" borderId="6" xfId="2" applyNumberFormat="1" applyFont="1" applyFill="1" applyBorder="1" applyAlignment="1">
      <alignment horizontal="right"/>
    </xf>
    <xf numFmtId="166" fontId="24" fillId="3" borderId="6" xfId="2" applyNumberFormat="1" applyFont="1" applyFill="1" applyBorder="1" applyAlignment="1">
      <alignment horizontal="right"/>
    </xf>
    <xf numFmtId="4" fontId="28" fillId="0" borderId="0" xfId="0" applyNumberFormat="1" applyFont="1" applyAlignment="1">
      <alignment horizontal="left"/>
    </xf>
    <xf numFmtId="166" fontId="24" fillId="2" borderId="3" xfId="2" applyNumberFormat="1" applyFont="1" applyFill="1" applyBorder="1" applyAlignment="1">
      <alignment horizontal="right"/>
    </xf>
    <xf numFmtId="166" fontId="24" fillId="4" borderId="3" xfId="2" applyNumberFormat="1" applyFont="1" applyFill="1" applyBorder="1" applyAlignment="1">
      <alignment horizontal="right"/>
    </xf>
    <xf numFmtId="166" fontId="24" fillId="0" borderId="0" xfId="2" applyNumberFormat="1" applyFont="1" applyBorder="1" applyAlignment="1">
      <alignment horizontal="right"/>
    </xf>
    <xf numFmtId="4" fontId="24" fillId="0" borderId="0" xfId="0" applyNumberFormat="1" applyFont="1" applyAlignment="1">
      <alignment horizontal="left"/>
    </xf>
    <xf numFmtId="166" fontId="19" fillId="2" borderId="0" xfId="2" applyNumberFormat="1" applyFont="1" applyFill="1"/>
    <xf numFmtId="166" fontId="19" fillId="4" borderId="0" xfId="2" applyNumberFormat="1" applyFont="1" applyFill="1"/>
    <xf numFmtId="166" fontId="19" fillId="3" borderId="0" xfId="2" applyNumberFormat="1" applyFont="1" applyFill="1"/>
    <xf numFmtId="4" fontId="19" fillId="0" borderId="2" xfId="0" applyNumberFormat="1" applyFont="1" applyBorder="1" applyAlignment="1">
      <alignment horizontal="left"/>
    </xf>
    <xf numFmtId="4" fontId="24" fillId="0" borderId="2" xfId="0" applyNumberFormat="1" applyFont="1" applyBorder="1" applyAlignment="1">
      <alignment horizontal="left"/>
    </xf>
    <xf numFmtId="0" fontId="31" fillId="0" borderId="0" xfId="0" applyFont="1" applyFill="1" applyBorder="1" applyAlignment="1">
      <alignment horizontal="left"/>
    </xf>
    <xf numFmtId="0" fontId="33" fillId="0" borderId="0" xfId="0" applyFont="1" applyFill="1" applyBorder="1" applyAlignment="1">
      <alignment horizontal="left"/>
    </xf>
    <xf numFmtId="166" fontId="31" fillId="0" borderId="0" xfId="2" applyNumberFormat="1" applyFont="1" applyFill="1" applyBorder="1"/>
    <xf numFmtId="0" fontId="31" fillId="0" borderId="0" xfId="0" applyFont="1" applyFill="1" applyBorder="1"/>
    <xf numFmtId="0" fontId="31" fillId="0" borderId="0" xfId="0" applyFont="1" applyFill="1" applyBorder="1" applyAlignment="1">
      <alignment horizontal="right"/>
    </xf>
    <xf numFmtId="43" fontId="19" fillId="0" borderId="0" xfId="0" applyNumberFormat="1" applyFont="1" applyBorder="1"/>
    <xf numFmtId="0" fontId="32" fillId="0" borderId="0" xfId="0" applyFont="1" applyFill="1" applyBorder="1" applyAlignment="1">
      <alignment horizontal="centerContinuous"/>
    </xf>
    <xf numFmtId="168" fontId="31" fillId="0" borderId="0" xfId="0" applyNumberFormat="1" applyFont="1" applyFill="1" applyBorder="1" applyAlignment="1">
      <alignment horizontal="right"/>
    </xf>
    <xf numFmtId="168" fontId="31" fillId="0" borderId="0" xfId="1" applyNumberFormat="1" applyFont="1" applyFill="1" applyBorder="1" applyAlignment="1">
      <alignment horizontal="right"/>
    </xf>
    <xf numFmtId="0" fontId="32" fillId="0" borderId="0" xfId="0" applyFont="1" applyFill="1" applyBorder="1" applyAlignment="1">
      <alignment horizontal="left"/>
    </xf>
    <xf numFmtId="166" fontId="34" fillId="0" borderId="0" xfId="2" applyNumberFormat="1" applyFont="1" applyFill="1" applyBorder="1" applyAlignment="1">
      <alignment horizontal="right"/>
    </xf>
    <xf numFmtId="164" fontId="19" fillId="0" borderId="0" xfId="0" applyNumberFormat="1" applyFont="1" applyFill="1"/>
    <xf numFmtId="166" fontId="24" fillId="2" borderId="0" xfId="2" applyNumberFormat="1" applyFont="1" applyFill="1" applyBorder="1" applyAlignment="1">
      <alignment horizontal="right"/>
    </xf>
    <xf numFmtId="166" fontId="24" fillId="4" borderId="0" xfId="2" applyNumberFormat="1" applyFont="1" applyFill="1" applyBorder="1" applyAlignment="1">
      <alignment horizontal="right"/>
    </xf>
    <xf numFmtId="166" fontId="24" fillId="3" borderId="3" xfId="2" applyNumberFormat="1" applyFont="1" applyFill="1" applyBorder="1" applyAlignment="1">
      <alignment horizontal="right"/>
    </xf>
    <xf numFmtId="166" fontId="24" fillId="3" borderId="0" xfId="2" applyNumberFormat="1" applyFont="1" applyFill="1" applyBorder="1" applyAlignment="1">
      <alignment horizontal="right"/>
    </xf>
    <xf numFmtId="0" fontId="25" fillId="0" borderId="0" xfId="0" applyFont="1" applyFill="1" applyBorder="1" applyAlignment="1">
      <alignment horizontal="left" vertical="top"/>
    </xf>
    <xf numFmtId="166" fontId="19" fillId="3" borderId="0" xfId="2" applyNumberFormat="1" applyFont="1" applyFill="1" applyBorder="1" applyAlignment="1">
      <alignment horizontal="right"/>
    </xf>
    <xf numFmtId="167" fontId="19" fillId="0" borderId="0" xfId="1" applyNumberFormat="1" applyFont="1" applyFill="1" applyBorder="1"/>
    <xf numFmtId="0" fontId="19" fillId="0" borderId="2" xfId="0" applyFont="1" applyFill="1" applyBorder="1" applyAlignment="1"/>
    <xf numFmtId="17" fontId="24" fillId="0" borderId="1" xfId="0" applyNumberFormat="1" applyFont="1" applyFill="1" applyBorder="1" applyAlignment="1">
      <alignment horizontal="center"/>
    </xf>
    <xf numFmtId="165" fontId="24" fillId="0" borderId="1" xfId="0" applyNumberFormat="1" applyFont="1" applyFill="1" applyBorder="1" applyAlignment="1">
      <alignment horizontal="center"/>
    </xf>
    <xf numFmtId="0" fontId="25" fillId="5" borderId="15" xfId="0" applyFont="1" applyFill="1" applyBorder="1" applyAlignment="1">
      <alignment horizontal="left" vertical="top"/>
    </xf>
    <xf numFmtId="0" fontId="24" fillId="5" borderId="0" xfId="0" applyFont="1" applyFill="1" applyAlignment="1">
      <alignment horizontal="left" vertical="top"/>
    </xf>
    <xf numFmtId="166" fontId="19" fillId="5" borderId="16" xfId="4" applyNumberFormat="1" applyFont="1" applyFill="1" applyBorder="1" applyAlignment="1">
      <alignment horizontal="right"/>
    </xf>
    <xf numFmtId="166" fontId="19" fillId="5" borderId="0" xfId="0" applyNumberFormat="1" applyFont="1" applyFill="1" applyAlignment="1">
      <alignment horizontal="left"/>
    </xf>
    <xf numFmtId="164" fontId="28" fillId="5" borderId="0" xfId="0" applyNumberFormat="1" applyFont="1" applyFill="1" applyAlignment="1">
      <alignment horizontal="left"/>
    </xf>
    <xf numFmtId="0" fontId="19" fillId="5" borderId="0" xfId="0" applyFont="1" applyFill="1" applyAlignment="1">
      <alignment horizontal="left"/>
    </xf>
    <xf numFmtId="164" fontId="28" fillId="5" borderId="0" xfId="0" applyNumberFormat="1" applyFont="1" applyFill="1" applyAlignment="1">
      <alignment horizontal="right"/>
    </xf>
    <xf numFmtId="0" fontId="19" fillId="5" borderId="0" xfId="0" applyFont="1" applyFill="1"/>
    <xf numFmtId="0" fontId="25" fillId="5" borderId="0" xfId="0" applyFont="1" applyFill="1" applyAlignment="1">
      <alignment horizontal="left" vertical="top"/>
    </xf>
    <xf numFmtId="9" fontId="23" fillId="5" borderId="0" xfId="3" applyFont="1" applyFill="1"/>
    <xf numFmtId="4" fontId="19" fillId="0" borderId="0" xfId="0" applyNumberFormat="1" applyFont="1" applyAlignment="1">
      <alignment horizontal="left" indent="1"/>
    </xf>
    <xf numFmtId="4" fontId="19" fillId="0" borderId="0" xfId="0" applyNumberFormat="1" applyFont="1" applyAlignment="1">
      <alignment horizontal="left" vertical="top" indent="1"/>
    </xf>
    <xf numFmtId="4" fontId="24" fillId="0" borderId="0" xfId="0" applyNumberFormat="1" applyFont="1" applyBorder="1" applyAlignment="1">
      <alignment horizontal="left"/>
    </xf>
    <xf numFmtId="166" fontId="24" fillId="0" borderId="23" xfId="2" applyNumberFormat="1" applyFont="1" applyBorder="1" applyAlignment="1">
      <alignment horizontal="right"/>
    </xf>
    <xf numFmtId="166" fontId="24" fillId="2" borderId="23" xfId="2" applyNumberFormat="1" applyFont="1" applyFill="1" applyBorder="1" applyAlignment="1">
      <alignment horizontal="right"/>
    </xf>
    <xf numFmtId="166" fontId="24" fillId="4" borderId="23" xfId="2" applyNumberFormat="1" applyFont="1" applyFill="1" applyBorder="1" applyAlignment="1">
      <alignment horizontal="right"/>
    </xf>
    <xf numFmtId="166" fontId="24" fillId="3" borderId="23" xfId="2" applyNumberFormat="1" applyFont="1" applyFill="1" applyBorder="1" applyAlignment="1">
      <alignment horizontal="right"/>
    </xf>
    <xf numFmtId="0" fontId="19" fillId="5" borderId="0" xfId="0" applyFont="1" applyFill="1" applyBorder="1" applyAlignment="1"/>
    <xf numFmtId="166" fontId="19" fillId="5" borderId="0" xfId="2" applyNumberFormat="1" applyFont="1" applyFill="1" applyBorder="1"/>
    <xf numFmtId="165" fontId="19" fillId="5" borderId="0" xfId="0" applyNumberFormat="1" applyFont="1" applyFill="1" applyBorder="1"/>
    <xf numFmtId="169" fontId="19" fillId="5" borderId="0" xfId="0" applyNumberFormat="1" applyFont="1" applyFill="1" applyBorder="1"/>
    <xf numFmtId="0" fontId="22" fillId="5" borderId="0" xfId="0" applyFont="1" applyFill="1" applyBorder="1" applyAlignment="1">
      <alignment horizontal="left"/>
    </xf>
    <xf numFmtId="164" fontId="19" fillId="5" borderId="0" xfId="0" applyNumberFormat="1" applyFont="1" applyFill="1"/>
    <xf numFmtId="0" fontId="19" fillId="5" borderId="0" xfId="0" applyFont="1" applyFill="1" applyAlignment="1"/>
    <xf numFmtId="166" fontId="19" fillId="5" borderId="0" xfId="2" applyNumberFormat="1" applyFont="1" applyFill="1"/>
    <xf numFmtId="165" fontId="19" fillId="5" borderId="0" xfId="0" applyNumberFormat="1" applyFont="1" applyFill="1"/>
    <xf numFmtId="169" fontId="19" fillId="5" borderId="0" xfId="0" applyNumberFormat="1" applyFont="1" applyFill="1"/>
    <xf numFmtId="0" fontId="21" fillId="5" borderId="0" xfId="0" applyFont="1" applyFill="1" applyAlignment="1">
      <alignment horizontal="left"/>
    </xf>
    <xf numFmtId="0" fontId="19" fillId="5" borderId="0" xfId="0" applyFont="1" applyFill="1" applyBorder="1"/>
    <xf numFmtId="164" fontId="19" fillId="5" borderId="0" xfId="0" applyNumberFormat="1" applyFont="1" applyFill="1" applyBorder="1"/>
    <xf numFmtId="0" fontId="21" fillId="5" borderId="0" xfId="0" applyFont="1" applyFill="1" applyBorder="1" applyAlignment="1"/>
    <xf numFmtId="0" fontId="28" fillId="5" borderId="0" xfId="0" applyFont="1" applyFill="1"/>
    <xf numFmtId="0" fontId="36" fillId="5" borderId="0" xfId="0" applyFont="1" applyFill="1" applyAlignment="1">
      <alignment vertical="center"/>
    </xf>
    <xf numFmtId="0" fontId="0" fillId="5" borderId="0" xfId="0" applyFill="1"/>
    <xf numFmtId="0" fontId="37" fillId="5" borderId="0" xfId="0" applyFont="1" applyFill="1" applyAlignment="1">
      <alignment vertical="center"/>
    </xf>
    <xf numFmtId="0" fontId="38" fillId="5" borderId="0" xfId="0" applyFont="1" applyFill="1" applyAlignment="1">
      <alignment vertical="center"/>
    </xf>
    <xf numFmtId="0" fontId="39" fillId="5" borderId="0" xfId="0" applyFont="1" applyFill="1" applyAlignment="1">
      <alignment horizontal="left" vertical="center" indent="5"/>
    </xf>
    <xf numFmtId="0" fontId="0" fillId="5" borderId="0" xfId="0" applyFill="1" applyAlignment="1">
      <alignment horizontal="left" vertical="center" indent="7"/>
    </xf>
    <xf numFmtId="0" fontId="0" fillId="5" borderId="0" xfId="0" quotePrefix="1" applyFill="1" applyAlignment="1">
      <alignment horizontal="left" vertical="center" indent="7"/>
    </xf>
    <xf numFmtId="0" fontId="0" fillId="5" borderId="0" xfId="0" quotePrefix="1" applyFill="1" applyAlignment="1">
      <alignment horizontal="left" vertical="center" wrapText="1" indent="7"/>
    </xf>
    <xf numFmtId="0" fontId="35" fillId="5" borderId="0" xfId="0" applyFont="1" applyFill="1" applyAlignment="1">
      <alignment vertical="center"/>
    </xf>
    <xf numFmtId="0" fontId="39" fillId="5" borderId="0" xfId="0" applyFont="1" applyFill="1" applyAlignment="1">
      <alignment horizontal="left" vertical="center" wrapText="1" indent="5"/>
    </xf>
    <xf numFmtId="0" fontId="35" fillId="6" borderId="0" xfId="0" applyFont="1" applyFill="1"/>
    <xf numFmtId="0" fontId="0" fillId="6" borderId="0" xfId="0" applyFill="1"/>
    <xf numFmtId="0" fontId="26" fillId="5" borderId="0" xfId="0" applyFont="1" applyFill="1" applyBorder="1" applyAlignment="1">
      <alignment horizontal="left"/>
    </xf>
    <xf numFmtId="164" fontId="27" fillId="5" borderId="0" xfId="0" applyNumberFormat="1" applyFont="1" applyFill="1" applyBorder="1" applyAlignment="1">
      <alignment horizontal="right"/>
    </xf>
    <xf numFmtId="0" fontId="19" fillId="0" borderId="0" xfId="0" applyFont="1" applyFill="1" applyAlignment="1"/>
    <xf numFmtId="169" fontId="19" fillId="0" borderId="0" xfId="0" applyNumberFormat="1" applyFont="1" applyFill="1"/>
    <xf numFmtId="0" fontId="35" fillId="5" borderId="0" xfId="0" applyFont="1" applyFill="1"/>
    <xf numFmtId="0" fontId="25" fillId="0" borderId="0" xfId="0" applyFont="1" applyFill="1" applyAlignment="1">
      <alignment horizontal="left" vertical="top"/>
    </xf>
    <xf numFmtId="166" fontId="19" fillId="0" borderId="0" xfId="4" applyNumberFormat="1" applyFont="1" applyFill="1" applyBorder="1" applyAlignment="1">
      <alignment horizontal="right"/>
    </xf>
    <xf numFmtId="166" fontId="19" fillId="0" borderId="0" xfId="0" applyNumberFormat="1" applyFont="1" applyFill="1" applyBorder="1" applyAlignment="1">
      <alignment horizontal="left"/>
    </xf>
    <xf numFmtId="164" fontId="28" fillId="0" borderId="0" xfId="0" applyNumberFormat="1" applyFont="1" applyFill="1" applyAlignment="1">
      <alignment horizontal="right"/>
    </xf>
    <xf numFmtId="164" fontId="28" fillId="0" borderId="0" xfId="0" applyNumberFormat="1" applyFont="1" applyFill="1" applyBorder="1" applyAlignment="1">
      <alignment horizontal="right"/>
    </xf>
    <xf numFmtId="167" fontId="27" fillId="0" borderId="0" xfId="1" applyNumberFormat="1" applyFont="1" applyFill="1" applyBorder="1" applyAlignment="1">
      <alignment horizontal="right"/>
    </xf>
    <xf numFmtId="0" fontId="39" fillId="5" borderId="0" xfId="0" applyFont="1" applyFill="1" applyAlignment="1">
      <alignment horizontal="left" vertical="center" wrapText="1" indent="5"/>
    </xf>
    <xf numFmtId="9" fontId="19" fillId="5" borderId="0" xfId="3" applyFont="1" applyFill="1" applyBorder="1"/>
    <xf numFmtId="43" fontId="0" fillId="0" borderId="0" xfId="2" applyFont="1"/>
    <xf numFmtId="43" fontId="0" fillId="0" borderId="0" xfId="2" applyFont="1" applyAlignment="1">
      <alignment horizontal="centerContinuous"/>
    </xf>
    <xf numFmtId="14" fontId="43" fillId="0" borderId="0" xfId="2" applyNumberFormat="1" applyFont="1" applyAlignment="1">
      <alignment horizontal="centerContinuous"/>
    </xf>
    <xf numFmtId="0" fontId="44" fillId="0" borderId="0" xfId="10"/>
    <xf numFmtId="0" fontId="0" fillId="0" borderId="24" xfId="0" applyBorder="1"/>
    <xf numFmtId="43" fontId="0" fillId="0" borderId="24" xfId="2" applyFont="1" applyBorder="1"/>
    <xf numFmtId="43" fontId="0" fillId="0" borderId="24" xfId="2" applyFont="1" applyBorder="1" applyAlignment="1">
      <alignment horizontal="center"/>
    </xf>
    <xf numFmtId="43" fontId="0" fillId="2" borderId="24" xfId="2" applyFont="1" applyFill="1" applyBorder="1" applyAlignment="1">
      <alignment horizontal="center"/>
    </xf>
    <xf numFmtId="43" fontId="0" fillId="2" borderId="24" xfId="2" applyFont="1" applyFill="1" applyBorder="1"/>
    <xf numFmtId="165" fontId="25" fillId="0" borderId="1" xfId="0" applyNumberFormat="1" applyFont="1" applyFill="1" applyBorder="1" applyAlignment="1">
      <alignment horizontal="center"/>
    </xf>
    <xf numFmtId="17" fontId="24" fillId="7" borderId="1" xfId="0" applyNumberFormat="1" applyFont="1" applyFill="1" applyBorder="1" applyAlignment="1">
      <alignment horizontal="center"/>
    </xf>
    <xf numFmtId="165" fontId="23" fillId="7" borderId="0" xfId="0" applyNumberFormat="1" applyFont="1" applyFill="1"/>
    <xf numFmtId="166" fontId="19" fillId="7" borderId="0" xfId="2" applyNumberFormat="1" applyFont="1" applyFill="1" applyBorder="1" applyAlignment="1">
      <alignment horizontal="right"/>
    </xf>
    <xf numFmtId="166" fontId="24" fillId="7" borderId="0" xfId="2" applyNumberFormat="1" applyFont="1" applyFill="1" applyAlignment="1">
      <alignment horizontal="right"/>
    </xf>
    <xf numFmtId="166" fontId="19" fillId="7" borderId="0" xfId="2" applyNumberFormat="1" applyFont="1" applyFill="1" applyAlignment="1">
      <alignment horizontal="right"/>
    </xf>
    <xf numFmtId="166" fontId="19" fillId="7" borderId="0" xfId="2" applyNumberFormat="1" applyFont="1" applyFill="1"/>
    <xf numFmtId="166" fontId="24" fillId="7" borderId="3" xfId="2" applyNumberFormat="1" applyFont="1" applyFill="1" applyBorder="1" applyAlignment="1">
      <alignment horizontal="right"/>
    </xf>
    <xf numFmtId="166" fontId="19" fillId="7" borderId="2" xfId="2" applyNumberFormat="1" applyFont="1" applyFill="1" applyBorder="1" applyAlignment="1">
      <alignment horizontal="right"/>
    </xf>
    <xf numFmtId="166" fontId="24" fillId="7" borderId="0" xfId="2" applyNumberFormat="1" applyFont="1" applyFill="1" applyBorder="1" applyAlignment="1">
      <alignment horizontal="right"/>
    </xf>
    <xf numFmtId="166" fontId="24" fillId="7" borderId="4" xfId="2" applyNumberFormat="1" applyFont="1" applyFill="1" applyBorder="1" applyAlignment="1">
      <alignment horizontal="right"/>
    </xf>
    <xf numFmtId="166" fontId="24" fillId="7" borderId="23" xfId="2" applyNumberFormat="1" applyFont="1" applyFill="1" applyBorder="1" applyAlignment="1">
      <alignment horizontal="right"/>
    </xf>
    <xf numFmtId="0" fontId="24" fillId="0" borderId="0" xfId="0" applyFont="1" applyBorder="1" applyAlignment="1">
      <alignment horizontal="left" vertical="top"/>
    </xf>
    <xf numFmtId="0" fontId="29" fillId="5" borderId="0" xfId="0" applyFont="1" applyFill="1" applyBorder="1" applyAlignment="1">
      <alignment horizontal="center"/>
    </xf>
    <xf numFmtId="0" fontId="30" fillId="5" borderId="0" xfId="0" applyFont="1" applyFill="1" applyBorder="1" applyAlignment="1">
      <alignment horizontal="left"/>
    </xf>
    <xf numFmtId="0" fontId="19" fillId="5" borderId="0" xfId="0" applyFont="1" applyFill="1" applyBorder="1" applyAlignment="1">
      <alignment horizontal="left"/>
    </xf>
    <xf numFmtId="168" fontId="19" fillId="5" borderId="0" xfId="0" applyNumberFormat="1" applyFont="1" applyFill="1" applyBorder="1" applyAlignment="1">
      <alignment horizontal="right"/>
    </xf>
    <xf numFmtId="168" fontId="30" fillId="5" borderId="0" xfId="0" applyNumberFormat="1" applyFont="1" applyFill="1" applyBorder="1" applyAlignment="1">
      <alignment horizontal="left"/>
    </xf>
    <xf numFmtId="168" fontId="19" fillId="5" borderId="0" xfId="0" applyNumberFormat="1" applyFont="1" applyFill="1" applyBorder="1" applyAlignment="1">
      <alignment horizontal="left"/>
    </xf>
    <xf numFmtId="168" fontId="19" fillId="5" borderId="0" xfId="1" applyNumberFormat="1" applyFont="1" applyFill="1" applyBorder="1" applyAlignment="1">
      <alignment horizontal="right"/>
    </xf>
    <xf numFmtId="168" fontId="19" fillId="5" borderId="0" xfId="0" applyNumberFormat="1" applyFont="1" applyFill="1" applyBorder="1"/>
    <xf numFmtId="168" fontId="19" fillId="0" borderId="0" xfId="0" applyNumberFormat="1" applyFont="1" applyFill="1" applyBorder="1" applyAlignment="1">
      <alignment horizontal="right"/>
    </xf>
    <xf numFmtId="168" fontId="30" fillId="0" borderId="0" xfId="0" applyNumberFormat="1" applyFont="1" applyFill="1" applyBorder="1" applyAlignment="1">
      <alignment horizontal="left"/>
    </xf>
    <xf numFmtId="168" fontId="19" fillId="0" borderId="0" xfId="0" applyNumberFormat="1" applyFont="1" applyFill="1" applyBorder="1"/>
    <xf numFmtId="0" fontId="29" fillId="5" borderId="0" xfId="0" applyFont="1" applyFill="1" applyBorder="1" applyAlignment="1">
      <alignment horizontal="left"/>
    </xf>
    <xf numFmtId="168" fontId="28" fillId="5" borderId="0" xfId="0" applyNumberFormat="1" applyFont="1" applyFill="1" applyBorder="1" applyAlignment="1">
      <alignment horizontal="right"/>
    </xf>
    <xf numFmtId="168" fontId="24" fillId="5" borderId="0" xfId="0" applyNumberFormat="1" applyFont="1" applyFill="1" applyBorder="1" applyAlignment="1">
      <alignment horizontal="left"/>
    </xf>
    <xf numFmtId="166" fontId="24" fillId="5" borderId="0" xfId="2" applyNumberFormat="1" applyFont="1" applyFill="1" applyBorder="1" applyAlignment="1">
      <alignment horizontal="right"/>
    </xf>
    <xf numFmtId="166" fontId="19" fillId="0" borderId="0" xfId="0" applyNumberFormat="1" applyFont="1" applyBorder="1"/>
    <xf numFmtId="40" fontId="19" fillId="0" borderId="0" xfId="0" applyNumberFormat="1" applyFont="1" applyBorder="1"/>
    <xf numFmtId="9" fontId="19" fillId="0" borderId="0" xfId="3" applyFont="1" applyBorder="1"/>
    <xf numFmtId="43" fontId="0" fillId="0" borderId="7" xfId="2" applyFont="1" applyBorder="1"/>
    <xf numFmtId="43" fontId="0" fillId="0" borderId="8" xfId="2" applyFont="1" applyBorder="1"/>
    <xf numFmtId="43" fontId="0" fillId="0" borderId="9" xfId="2" applyFont="1" applyBorder="1"/>
    <xf numFmtId="4" fontId="19" fillId="0" borderId="3" xfId="0" applyNumberFormat="1" applyFont="1" applyBorder="1" applyAlignment="1">
      <alignment horizontal="left"/>
    </xf>
    <xf numFmtId="166" fontId="19" fillId="4" borderId="6" xfId="2" applyNumberFormat="1" applyFont="1" applyFill="1" applyBorder="1" applyAlignment="1">
      <alignment horizontal="right"/>
    </xf>
    <xf numFmtId="14" fontId="19" fillId="0" borderId="0" xfId="0" applyNumberFormat="1" applyFont="1"/>
    <xf numFmtId="0" fontId="45" fillId="5" borderId="0" xfId="0" applyFont="1" applyFill="1" applyAlignment="1">
      <alignment horizontal="left"/>
    </xf>
    <xf numFmtId="9" fontId="46" fillId="5" borderId="0" xfId="3" applyFont="1" applyFill="1" applyAlignment="1">
      <alignment horizontal="left"/>
    </xf>
    <xf numFmtId="166" fontId="46" fillId="5" borderId="0" xfId="3" applyNumberFormat="1" applyFont="1" applyFill="1" applyAlignment="1">
      <alignment horizontal="left"/>
    </xf>
    <xf numFmtId="9" fontId="47" fillId="5" borderId="0" xfId="3" applyFont="1" applyFill="1" applyAlignment="1">
      <alignment horizontal="left"/>
    </xf>
    <xf numFmtId="0" fontId="45" fillId="0" borderId="0" xfId="0" applyFont="1" applyFill="1" applyAlignment="1">
      <alignment horizontal="left"/>
    </xf>
    <xf numFmtId="0" fontId="45" fillId="0" borderId="0" xfId="0" applyFont="1" applyAlignment="1">
      <alignment horizontal="left"/>
    </xf>
    <xf numFmtId="44" fontId="0" fillId="0" borderId="0" xfId="1" applyFont="1"/>
    <xf numFmtId="0" fontId="29" fillId="5" borderId="7" xfId="0" applyFont="1" applyFill="1" applyBorder="1" applyAlignment="1">
      <alignment horizontal="center"/>
    </xf>
    <xf numFmtId="0" fontId="29" fillId="5" borderId="8" xfId="0" applyFont="1" applyFill="1" applyBorder="1" applyAlignment="1">
      <alignment horizontal="center"/>
    </xf>
    <xf numFmtId="0" fontId="29" fillId="5" borderId="9" xfId="0" applyFont="1" applyFill="1" applyBorder="1" applyAlignment="1">
      <alignment horizontal="center"/>
    </xf>
    <xf numFmtId="0" fontId="29" fillId="5" borderId="0" xfId="0" applyFont="1" applyFill="1" applyBorder="1" applyAlignment="1">
      <alignment horizontal="center"/>
    </xf>
    <xf numFmtId="0" fontId="24" fillId="0" borderId="0" xfId="0" applyFont="1" applyBorder="1" applyAlignment="1">
      <alignment horizontal="left" vertical="top"/>
    </xf>
    <xf numFmtId="0" fontId="25" fillId="5" borderId="15" xfId="0" applyFont="1" applyFill="1" applyBorder="1" applyAlignment="1">
      <alignment horizontal="left" vertical="top"/>
    </xf>
    <xf numFmtId="0" fontId="25" fillId="5" borderId="0" xfId="0" applyFont="1" applyFill="1" applyBorder="1" applyAlignment="1">
      <alignment horizontal="left" vertical="top"/>
    </xf>
    <xf numFmtId="0" fontId="39" fillId="5" borderId="0" xfId="0" applyFont="1" applyFill="1" applyAlignment="1">
      <alignment horizontal="left" vertical="center" wrapText="1" indent="5"/>
    </xf>
    <xf numFmtId="0" fontId="0" fillId="5" borderId="0" xfId="0" applyFill="1" applyAlignment="1">
      <alignment horizontal="left" vertical="center" wrapText="1" indent="7"/>
    </xf>
    <xf numFmtId="0" fontId="0" fillId="5" borderId="0" xfId="0" quotePrefix="1" applyFill="1" applyAlignment="1">
      <alignment horizontal="left" vertical="center" wrapText="1" indent="7"/>
    </xf>
    <xf numFmtId="0" fontId="0" fillId="0" borderId="0" xfId="0" quotePrefix="1" applyFill="1" applyAlignment="1">
      <alignment horizontal="left" vertical="center" wrapText="1" indent="7"/>
    </xf>
    <xf numFmtId="0" fontId="39" fillId="0" borderId="0" xfId="0" applyFont="1" applyFill="1" applyAlignment="1">
      <alignment horizontal="left" vertical="center" wrapText="1" indent="5"/>
    </xf>
    <xf numFmtId="0" fontId="39" fillId="6" borderId="0" xfId="0" applyFont="1" applyFill="1" applyAlignment="1">
      <alignment horizontal="left" vertical="center" wrapText="1" indent="5"/>
    </xf>
    <xf numFmtId="0" fontId="5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5" fillId="5" borderId="12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3" fillId="5" borderId="15" xfId="0" applyFont="1" applyFill="1" applyBorder="1" applyAlignment="1">
      <alignment horizontal="left" vertical="top"/>
    </xf>
    <xf numFmtId="0" fontId="3" fillId="5" borderId="0" xfId="0" applyFont="1" applyFill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</cellXfs>
  <cellStyles count="11">
    <cellStyle name="Comma" xfId="2" builtinId="3"/>
    <cellStyle name="Comma 2" xfId="4" xr:uid="{00000000-0005-0000-0000-000001000000}"/>
    <cellStyle name="Comma 3" xfId="7" xr:uid="{00000000-0005-0000-0000-000002000000}"/>
    <cellStyle name="Currency" xfId="1" builtinId="4"/>
    <cellStyle name="Currency 2" xfId="8" xr:uid="{F7C3E197-A723-4F3E-BE4A-954BC63D8EF1}"/>
    <cellStyle name="Hyperlink" xfId="10" builtinId="8"/>
    <cellStyle name="Normal" xfId="0" builtinId="0" customBuiltin="1"/>
    <cellStyle name="Normal 2" xfId="5" xr:uid="{00000000-0005-0000-0000-000005000000}"/>
    <cellStyle name="Normal 3" xfId="6" xr:uid="{00000000-0005-0000-0000-000006000000}"/>
    <cellStyle name="Percent" xfId="3" builtinId="5"/>
    <cellStyle name="Percent 2" xfId="9" xr:uid="{457C08BC-210E-40A1-858C-6D3AFD212A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2021-2022 Income Breakout</a:t>
            </a:r>
          </a:p>
          <a:p>
            <a:pPr>
              <a:defRPr/>
            </a:pPr>
            <a:r>
              <a:rPr lang="en-US" sz="1400" b="0"/>
              <a:t>Total $38,250</a:t>
            </a:r>
          </a:p>
        </c:rich>
      </c:tx>
      <c:layout>
        <c:manualLayout>
          <c:xMode val="edge"/>
          <c:yMode val="edge"/>
          <c:x val="0.30566319719863028"/>
          <c:y val="5.10280581124542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circle"/>
          <c:size val="6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6"/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-6.7575348727476531E-2"/>
              <c:y val="6.7192864429852409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gradFill rotWithShape="1">
            <a:gsLst>
              <a:gs pos="0">
                <a:schemeClr val="accent4">
                  <a:satMod val="103000"/>
                  <a:lumMod val="102000"/>
                  <a:tint val="94000"/>
                </a:schemeClr>
              </a:gs>
              <a:gs pos="50000">
                <a:schemeClr val="accent4">
                  <a:satMod val="110000"/>
                  <a:lumMod val="100000"/>
                  <a:shade val="100000"/>
                </a:schemeClr>
              </a:gs>
              <a:gs pos="100000">
                <a:schemeClr val="accent4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-1.3928215869568028E-2"/>
              <c:y val="5.0534586402506139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5">
              <a:lumMod val="75000"/>
            </a:schemeClr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tx>
            <c:rich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fld id="{79C9F495-88E9-467C-926F-E8F03C40D4BD}" type="CATEGORYNAME">
                  <a:rPr lang="en-US">
                    <a:solidFill>
                      <a:schemeClr val="bg1"/>
                    </a:solidFill>
                  </a:rPr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t>[CATEGORY NAME]</a:t>
                </a:fld>
                <a:r>
                  <a:rPr lang="en-US" baseline="0">
                    <a:solidFill>
                      <a:schemeClr val="bg1"/>
                    </a:solidFill>
                  </a:rPr>
                  <a:t>
</a:t>
                </a:r>
                <a:fld id="{CFFD4FD7-23DB-4DF5-8277-4DA66920E892}" type="PERCENTAGE">
                  <a:rPr lang="en-US" baseline="0">
                    <a:solidFill>
                      <a:schemeClr val="bg1"/>
                    </a:solidFill>
                  </a:rPr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t>[PERCENTAGE]</a:t>
                </a:fld>
                <a:endParaRPr lang="en-US" baseline="0">
                  <a:solidFill>
                    <a:schemeClr val="bg1"/>
                  </a:solidFill>
                </a:endParaRPr>
              </a:p>
            </c:rich>
          </c:tx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>
              <c15:dlblFieldTable/>
              <c15:showDataLabelsRange val="0"/>
            </c:ext>
          </c:extLst>
        </c:dLbl>
      </c:pivotFmt>
      <c:pivotFmt>
        <c:idx val="4"/>
        <c:spPr>
          <a:solidFill>
            <a:schemeClr val="accent2"/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1.0731479843109477E-2"/>
              <c:y val="-2.6970635890730264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rgbClr val="7030A0"/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-4.9356165399472483E-2"/>
              <c:y val="7.5038507510504851E-3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5">
              <a:lumMod val="75000"/>
            </a:schemeClr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tx>
            <c:rich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fld id="{79C9F495-88E9-467C-926F-E8F03C40D4BD}" type="CATEGORYNAME">
                  <a:rPr lang="en-US">
                    <a:solidFill>
                      <a:schemeClr val="bg1"/>
                    </a:solidFill>
                  </a:rPr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t>[CATEGORY NAME]</a:t>
                </a:fld>
                <a:r>
                  <a:rPr lang="en-US" baseline="0">
                    <a:solidFill>
                      <a:schemeClr val="bg1"/>
                    </a:solidFill>
                  </a:rPr>
                  <a:t>
</a:t>
                </a:r>
                <a:fld id="{CFFD4FD7-23DB-4DF5-8277-4DA66920E892}" type="PERCENTAGE">
                  <a:rPr lang="en-US" baseline="0">
                    <a:solidFill>
                      <a:schemeClr val="bg1"/>
                    </a:solidFill>
                  </a:rPr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t>[PERCENTAGE]</a:t>
                </a:fld>
                <a:endParaRPr lang="en-US" baseline="0">
                  <a:solidFill>
                    <a:schemeClr val="bg1"/>
                  </a:solidFill>
                </a:endParaRPr>
              </a:p>
            </c:rich>
          </c:tx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>
              <c15:dlblFieldTable/>
              <c15:showDataLabelsRange val="0"/>
            </c:ext>
          </c:extLst>
        </c:dLbl>
      </c:pivotFmt>
      <c:pivotFmt>
        <c:idx val="12"/>
        <c:spPr>
          <a:solidFill>
            <a:schemeClr val="accent2"/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1.0731479843109477E-2"/>
              <c:y val="-2.6970635890730264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accent6"/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-6.7575348727476531E-2"/>
              <c:y val="6.7192864429852409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-1.3928215869568028E-2"/>
              <c:y val="5.0534586402506139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solidFill>
            <a:srgbClr val="7030A0"/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-4.9356165399472483E-2"/>
              <c:y val="7.5038507510504851E-3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pieChart>
        <c:varyColors val="1"/>
        <c:ser>
          <c:idx val="0"/>
          <c:order val="0"/>
          <c:tx>
            <c:v>Total</c:v>
          </c:tx>
          <c:spPr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dPt>
            <c:idx val="0"/>
            <c:bubble3D val="0"/>
            <c:spPr>
              <a:solidFill>
                <a:schemeClr val="accent5">
                  <a:lumMod val="75000"/>
                </a:schemeClr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D8ED-4067-8865-94AA8E60D3D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D8ED-4067-8865-94AA8E60D3DB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5-D8ED-4067-8865-94AA8E60D3DB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7-D8ED-4067-8865-94AA8E60D3DB}"/>
              </c:ext>
            </c:extLst>
          </c:dPt>
          <c:dPt>
            <c:idx val="4"/>
            <c:bubble3D val="0"/>
            <c:spPr>
              <a:solidFill>
                <a:srgbClr val="7030A0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9-D8ED-4067-8865-94AA8E60D3DB}"/>
              </c:ext>
            </c:extLst>
          </c:dPt>
          <c:dLbls>
            <c:dLbl>
              <c:idx val="0"/>
              <c:layout>
                <c:manualLayout>
                  <c:x val="-0.15352601337821423"/>
                  <c:y val="-8.5307022417117892E-2"/>
                </c:manualLayout>
              </c:layout>
              <c:tx>
                <c:rich>
                  <a:bodyPr/>
                  <a:lstStyle/>
                  <a:p>
                    <a:fld id="{79C9F495-88E9-467C-926F-E8F03C40D4BD}" type="CATEGORYNAME">
                      <a:rPr lang="en-US">
                        <a:solidFill>
                          <a:schemeClr val="bg1"/>
                        </a:solidFill>
                      </a:rPr>
                      <a:pPr/>
                      <a:t>[CATEGORY NAME]</a:t>
                    </a:fld>
                    <a:r>
                      <a:rPr lang="en-US" baseline="0">
                        <a:solidFill>
                          <a:schemeClr val="bg1"/>
                        </a:solidFill>
                      </a:rPr>
                      <a:t>
</a:t>
                    </a:r>
                    <a:fld id="{CFFD4FD7-23DB-4DF5-8277-4DA66920E892}" type="PERCENTAGE">
                      <a:rPr lang="en-US" baseline="0">
                        <a:solidFill>
                          <a:schemeClr val="bg1"/>
                        </a:solidFill>
                      </a:rPr>
                      <a:pPr/>
                      <a:t>[PERCENTAGE]</a:t>
                    </a:fld>
                    <a:endParaRPr lang="en-US" baseline="0">
                      <a:solidFill>
                        <a:schemeClr val="bg1"/>
                      </a:solidFill>
                    </a:endParaRP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D8ED-4067-8865-94AA8E60D3DB}"/>
                </c:ext>
              </c:extLst>
            </c:dLbl>
            <c:dLbl>
              <c:idx val="1"/>
              <c:layout>
                <c:manualLayout>
                  <c:x val="1.0731479843109477E-2"/>
                  <c:y val="-2.6970635890730264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8ED-4067-8865-94AA8E60D3DB}"/>
                </c:ext>
              </c:extLst>
            </c:dLbl>
            <c:dLbl>
              <c:idx val="2"/>
              <c:layout>
                <c:manualLayout>
                  <c:x val="-6.7575348727476531E-2"/>
                  <c:y val="6.7192864429852409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8ED-4067-8865-94AA8E60D3DB}"/>
                </c:ext>
              </c:extLst>
            </c:dLbl>
            <c:dLbl>
              <c:idx val="3"/>
              <c:layout>
                <c:manualLayout>
                  <c:x val="-1.3928215869568028E-2"/>
                  <c:y val="5.0534586402506139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8ED-4067-8865-94AA8E60D3DB}"/>
                </c:ext>
              </c:extLst>
            </c:dLbl>
            <c:dLbl>
              <c:idx val="4"/>
              <c:layout>
                <c:manualLayout>
                  <c:x val="-4.9356165399472483E-2"/>
                  <c:y val="7.5038507510504851E-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D8ED-4067-8865-94AA8E60D3D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Lit>
              <c:ptCount val="5"/>
              <c:pt idx="0">
                <c:v>Fun Run</c:v>
              </c:pt>
              <c:pt idx="1">
                <c:v>School Supplies</c:v>
              </c:pt>
              <c:pt idx="2">
                <c:v>Bottle Drop</c:v>
              </c:pt>
              <c:pt idx="3">
                <c:v>Misc Donations/Match</c:v>
              </c:pt>
              <c:pt idx="4">
                <c:v>Other</c:v>
              </c:pt>
            </c:strLit>
          </c:cat>
          <c:val>
            <c:numLit>
              <c:formatCode>General</c:formatCode>
              <c:ptCount val="5"/>
              <c:pt idx="0">
                <c:v>25000</c:v>
              </c:pt>
              <c:pt idx="1">
                <c:v>7000</c:v>
              </c:pt>
              <c:pt idx="2">
                <c:v>2500</c:v>
              </c:pt>
              <c:pt idx="3">
                <c:v>2500</c:v>
              </c:pt>
              <c:pt idx="4">
                <c:v>1250</c:v>
              </c:pt>
            </c:numLit>
          </c:val>
          <c:extLst>
            <c:ext xmlns:c16="http://schemas.microsoft.com/office/drawing/2014/chart" uri="{C3380CC4-5D6E-409C-BE32-E72D297353CC}">
              <c16:uniqueId val="{0000000A-D8ED-4067-8865-94AA8E60D3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  <c:extLst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/>
              <a:t>2021-2022 Budgeted Expenses</a:t>
            </a:r>
          </a:p>
        </c:rich>
      </c:tx>
      <c:layout>
        <c:manualLayout>
          <c:xMode val="edge"/>
          <c:yMode val="edge"/>
          <c:x val="0.30060221252184322"/>
          <c:y val="3.796013101668076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2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1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</c:pivotFmts>
    <c:plotArea>
      <c:layout/>
      <c:pieChart>
        <c:varyColors val="1"/>
        <c:ser>
          <c:idx val="0"/>
          <c:order val="0"/>
          <c:tx>
            <c:v>Total</c:v>
          </c:tx>
          <c:spPr>
            <a:scene3d>
              <a:camera prst="orthographicFront"/>
              <a:lightRig rig="threePt" dir="t">
                <a:rot lat="0" lon="0" rev="1800000"/>
              </a:lightRig>
            </a:scene3d>
            <a:sp3d>
              <a:bevelT w="63500" h="25400"/>
            </a:sp3d>
          </c:spPr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334E-41A4-A519-195B13FF043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334E-41A4-A519-195B13FF043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5-334E-41A4-A519-195B13FF043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7-334E-41A4-A519-195B13FF0434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9-334E-41A4-A519-195B13FF0434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B-334E-41A4-A519-195B13FF0434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D-334E-41A4-A519-195B13FF0434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F-334E-41A4-A519-195B13FF0434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11-334E-41A4-A519-195B13FF0434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13-334E-41A4-A519-195B13FF0434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15-334E-41A4-A519-195B13FF0434}"/>
              </c:ext>
            </c:extLst>
          </c:dPt>
          <c:dLbls>
            <c:dLbl>
              <c:idx val="6"/>
              <c:layout>
                <c:manualLayout>
                  <c:x val="-4.2499632367685787E-2"/>
                  <c:y val="5.280803585322585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334E-41A4-A519-195B13FF0434}"/>
                </c:ext>
              </c:extLst>
            </c:dLbl>
            <c:dLbl>
              <c:idx val="7"/>
              <c:layout>
                <c:manualLayout>
                  <c:x val="-0.13660325566265166"/>
                  <c:y val="1.301961760708765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334E-41A4-A519-195B13FF043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Lit>
              <c:ptCount val="11"/>
              <c:pt idx="0">
                <c:v>Field Trips</c:v>
              </c:pt>
              <c:pt idx="1">
                <c:v>School Supplies</c:v>
              </c:pt>
              <c:pt idx="2">
                <c:v>Teacher Supplies</c:v>
              </c:pt>
              <c:pt idx="3">
                <c:v>Enrichment Programs</c:v>
              </c:pt>
              <c:pt idx="4">
                <c:v>Class Parties</c:v>
              </c:pt>
              <c:pt idx="5">
                <c:v>Fun Run</c:v>
              </c:pt>
              <c:pt idx="6">
                <c:v>Assemblies</c:v>
              </c:pt>
              <c:pt idx="7">
                <c:v>Community Events</c:v>
              </c:pt>
              <c:pt idx="8">
                <c:v>Staff Support</c:v>
              </c:pt>
              <c:pt idx="9">
                <c:v>PTO Admin</c:v>
              </c:pt>
              <c:pt idx="10">
                <c:v>Other</c:v>
              </c:pt>
            </c:strLit>
          </c:cat>
          <c:val>
            <c:numLit>
              <c:formatCode>General</c:formatCode>
              <c:ptCount val="11"/>
              <c:pt idx="0">
                <c:v>12800</c:v>
              </c:pt>
              <c:pt idx="1">
                <c:v>9350</c:v>
              </c:pt>
              <c:pt idx="2">
                <c:v>8250</c:v>
              </c:pt>
              <c:pt idx="3">
                <c:v>7700</c:v>
              </c:pt>
              <c:pt idx="4">
                <c:v>4050</c:v>
              </c:pt>
              <c:pt idx="5">
                <c:v>3500</c:v>
              </c:pt>
              <c:pt idx="6">
                <c:v>2000</c:v>
              </c:pt>
              <c:pt idx="7">
                <c:v>1800</c:v>
              </c:pt>
              <c:pt idx="8">
                <c:v>1650</c:v>
              </c:pt>
              <c:pt idx="9">
                <c:v>1405</c:v>
              </c:pt>
              <c:pt idx="10">
                <c:v>1250</c:v>
              </c:pt>
            </c:numLit>
          </c:val>
          <c:extLst>
            <c:ext xmlns:c16="http://schemas.microsoft.com/office/drawing/2014/chart" uri="{C3380CC4-5D6E-409C-BE32-E72D297353CC}">
              <c16:uniqueId val="{00000016-334E-41A4-A519-195B13FF0434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  <a:scene3d>
      <a:camera prst="orthographicFront"/>
      <a:lightRig rig="threePt" dir="t">
        <a:rot lat="0" lon="0" rev="1200000"/>
      </a:lightRig>
    </a:scene3d>
    <a:sp3d>
      <a:bevelT w="63500" h="25400"/>
    </a:sp3d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landscape"/>
  </c:printSettings>
  <c:extLst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PTO BUDGETED</a:t>
            </a:r>
            <a:r>
              <a:rPr lang="en-US" baseline="0"/>
              <a:t> EXPENSES 2022/23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289228142978649"/>
          <c:y val="0.17837994860017498"/>
          <c:w val="0.50775352224366999"/>
          <c:h val="0.74311857502187229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079B-44EA-AA7F-494582AEC5C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079B-44EA-AA7F-494582AEC5C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079B-44EA-AA7F-494582AEC5C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079B-44EA-AA7F-494582AEC5C7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079B-44EA-AA7F-494582AEC5C7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6-079B-44EA-AA7F-494582AEC5C7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079B-44EA-AA7F-494582AEC5C7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8-079B-44EA-AA7F-494582AEC5C7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079B-44EA-AA7F-494582AEC5C7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A-079B-44EA-AA7F-494582AEC5C7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079B-44EA-AA7F-494582AEC5C7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C-079B-44EA-AA7F-494582AEC5C7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079B-44EA-AA7F-494582AEC5C7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079B-44EA-AA7F-494582AEC5C7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079B-44EA-AA7F-494582AEC5C7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0-079B-44EA-AA7F-494582AEC5C7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079B-44EA-AA7F-494582AEC5C7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2-079B-44EA-AA7F-494582AEC5C7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079B-44EA-AA7F-494582AEC5C7}"/>
              </c:ext>
            </c:extLst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4-079B-44EA-AA7F-494582AEC5C7}"/>
              </c:ext>
            </c:extLst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079B-44EA-AA7F-494582AEC5C7}"/>
              </c:ext>
            </c:extLst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6-079B-44EA-AA7F-494582AEC5C7}"/>
              </c:ext>
            </c:extLst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079B-44EA-AA7F-494582AEC5C7}"/>
              </c:ext>
            </c:extLst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8-079B-44EA-AA7F-494582AEC5C7}"/>
              </c:ext>
            </c:extLst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079B-44EA-AA7F-494582AEC5C7}"/>
              </c:ext>
            </c:extLst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A-079B-44EA-AA7F-494582AEC5C7}"/>
              </c:ext>
            </c:extLst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079B-44EA-AA7F-494582AEC5C7}"/>
              </c:ext>
            </c:extLst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C-079B-44EA-AA7F-494582AEC5C7}"/>
              </c:ext>
            </c:extLst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079B-44EA-AA7F-494582AEC5C7}"/>
              </c:ext>
            </c:extLst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E-079B-44EA-AA7F-494582AEC5C7}"/>
              </c:ext>
            </c:extLst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079B-44EA-AA7F-494582AEC5C7}"/>
              </c:ext>
            </c:extLst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0-079B-44EA-AA7F-494582AEC5C7}"/>
              </c:ext>
            </c:extLst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079B-44EA-AA7F-494582AEC5C7}"/>
              </c:ext>
            </c:extLst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2-079B-44EA-AA7F-494582AEC5C7}"/>
              </c:ext>
            </c:extLst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079B-44EA-AA7F-494582AEC5C7}"/>
              </c:ext>
            </c:extLst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4-079B-44EA-AA7F-494582AEC5C7}"/>
              </c:ext>
            </c:extLst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079B-44EA-AA7F-494582AEC5C7}"/>
              </c:ext>
            </c:extLst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6-079B-44EA-AA7F-494582AEC5C7}"/>
              </c:ext>
            </c:extLst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079B-44EA-AA7F-494582AEC5C7}"/>
              </c:ext>
            </c:extLst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8-079B-44EA-AA7F-494582AEC5C7}"/>
              </c:ext>
            </c:extLst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079B-44EA-AA7F-494582AEC5C7}"/>
              </c:ext>
            </c:extLst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A-079B-44EA-AA7F-494582AEC5C7}"/>
              </c:ext>
            </c:extLst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079B-44EA-AA7F-494582AEC5C7}"/>
              </c:ext>
            </c:extLst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C-079B-44EA-AA7F-494582AEC5C7}"/>
              </c:ext>
            </c:extLst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D-079B-44EA-AA7F-494582AEC5C7}"/>
              </c:ext>
            </c:extLst>
          </c:dPt>
          <c:dPt>
            <c:idx val="45"/>
            <c:bubble3D val="0"/>
            <c:spPr>
              <a:solidFill>
                <a:schemeClr val="accent4">
                  <a:lumMod val="7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E-079B-44EA-AA7F-494582AEC5C7}"/>
              </c:ext>
            </c:extLst>
          </c:dPt>
          <c:dPt>
            <c:idx val="46"/>
            <c:bubble3D val="0"/>
            <c:spPr>
              <a:solidFill>
                <a:schemeClr val="accent5">
                  <a:lumMod val="7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F-079B-44EA-AA7F-494582AEC5C7}"/>
              </c:ext>
            </c:extLst>
          </c:dPt>
          <c:dLbls>
            <c:dLbl>
              <c:idx val="0"/>
              <c:layout>
                <c:manualLayout>
                  <c:x val="4.8125498897731496E-2"/>
                  <c:y val="3.6372505150760792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79B-44EA-AA7F-494582AEC5C7}"/>
                </c:ext>
              </c:extLst>
            </c:dLbl>
            <c:dLbl>
              <c:idx val="1"/>
              <c:layout>
                <c:manualLayout>
                  <c:x val="7.6890730164909697E-4"/>
                  <c:y val="-1.476304186831736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79B-44EA-AA7F-494582AEC5C7}"/>
                </c:ext>
              </c:extLst>
            </c:dLbl>
            <c:dLbl>
              <c:idx val="2"/>
              <c:layout>
                <c:manualLayout>
                  <c:x val="1.1585822739219185E-2"/>
                  <c:y val="-2.918979247707453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79B-44EA-AA7F-494582AEC5C7}"/>
                </c:ext>
              </c:extLst>
            </c:dLbl>
            <c:dLbl>
              <c:idx val="3"/>
              <c:layout>
                <c:manualLayout>
                  <c:x val="-4.7851216063512191E-4"/>
                  <c:y val="4.071551355009249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79B-44EA-AA7F-494582AEC5C7}"/>
                </c:ext>
              </c:extLst>
            </c:dLbl>
            <c:dLbl>
              <c:idx val="4"/>
              <c:layout>
                <c:manualLayout>
                  <c:x val="2.6505678724151882E-2"/>
                  <c:y val="3.1069018863278543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8.4163685345049005E-2"/>
                      <c:h val="3.0925993245082641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079B-44EA-AA7F-494582AEC5C7}"/>
                </c:ext>
              </c:extLst>
            </c:dLbl>
            <c:dLbl>
              <c:idx val="5"/>
              <c:layout>
                <c:manualLayout>
                  <c:x val="-5.4761761096615763E-2"/>
                  <c:y val="2.634283367477306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079B-44EA-AA7F-494582AEC5C7}"/>
                </c:ext>
              </c:extLst>
            </c:dLbl>
            <c:dLbl>
              <c:idx val="6"/>
              <c:layout>
                <c:manualLayout>
                  <c:x val="-1.4539045116513907E-2"/>
                  <c:y val="1.039522365440851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79B-44EA-AA7F-494582AEC5C7}"/>
                </c:ext>
              </c:extLst>
            </c:dLbl>
            <c:dLbl>
              <c:idx val="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8-079B-44EA-AA7F-494582AEC5C7}"/>
                </c:ext>
              </c:extLst>
            </c:dLbl>
            <c:dLbl>
              <c:idx val="8"/>
              <c:layout>
                <c:manualLayout>
                  <c:x val="-3.9256351191124465E-2"/>
                  <c:y val="9.8039750217423036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079B-44EA-AA7F-494582AEC5C7}"/>
                </c:ext>
              </c:extLst>
            </c:dLbl>
            <c:dLbl>
              <c:idx val="9"/>
              <c:layout>
                <c:manualLayout>
                  <c:x val="-3.2753984596821516E-2"/>
                  <c:y val="7.9091391721682284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079B-44EA-AA7F-494582AEC5C7}"/>
                </c:ext>
              </c:extLst>
            </c:dLbl>
            <c:dLbl>
              <c:idx val="10"/>
              <c:layout>
                <c:manualLayout>
                  <c:x val="2.2280051133456415E-2"/>
                  <c:y val="1.2073822763951926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079B-44EA-AA7F-494582AEC5C7}"/>
                </c:ext>
              </c:extLst>
            </c:dLbl>
            <c:dLbl>
              <c:idx val="1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C-079B-44EA-AA7F-494582AEC5C7}"/>
                </c:ext>
              </c:extLst>
            </c:dLbl>
            <c:dLbl>
              <c:idx val="1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079B-44EA-AA7F-494582AEC5C7}"/>
                </c:ext>
              </c:extLst>
            </c:dLbl>
            <c:dLbl>
              <c:idx val="1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079B-44EA-AA7F-494582AEC5C7}"/>
                </c:ext>
              </c:extLst>
            </c:dLbl>
            <c:dLbl>
              <c:idx val="1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079B-44EA-AA7F-494582AEC5C7}"/>
                </c:ext>
              </c:extLst>
            </c:dLbl>
            <c:dLbl>
              <c:idx val="1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079B-44EA-AA7F-494582AEC5C7}"/>
                </c:ext>
              </c:extLst>
            </c:dLbl>
            <c:dLbl>
              <c:idx val="1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079B-44EA-AA7F-494582AEC5C7}"/>
                </c:ext>
              </c:extLst>
            </c:dLbl>
            <c:dLbl>
              <c:idx val="1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079B-44EA-AA7F-494582AEC5C7}"/>
                </c:ext>
              </c:extLst>
            </c:dLbl>
            <c:dLbl>
              <c:idx val="18"/>
              <c:layout>
                <c:manualLayout>
                  <c:x val="-0.13285685116767992"/>
                  <c:y val="4.4675471956010938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63B26503-43EF-4733-93C8-F064909C5B80}" type="CATEGORYNAME">
                      <a:rPr lang="en-US" sz="1200"/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[CATEGORY NAME]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3-079B-44EA-AA7F-494582AEC5C7}"/>
                </c:ext>
              </c:extLst>
            </c:dLbl>
            <c:dLbl>
              <c:idx val="19"/>
              <c:layout>
                <c:manualLayout>
                  <c:x val="2.2270477154055762E-3"/>
                  <c:y val="1.488524880109444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8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079B-44EA-AA7F-494582AEC5C7}"/>
                </c:ext>
              </c:extLst>
            </c:dLbl>
            <c:dLbl>
              <c:idx val="20"/>
              <c:layout>
                <c:manualLayout>
                  <c:x val="2.9573135021504559E-2"/>
                  <c:y val="-9.268212214007406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8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079B-44EA-AA7F-494582AEC5C7}"/>
                </c:ext>
              </c:extLst>
            </c:dLbl>
            <c:dLbl>
              <c:idx val="21"/>
              <c:layout>
                <c:manualLayout>
                  <c:x val="-0.2105284911352423"/>
                  <c:y val="4.822499248418128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8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079B-44EA-AA7F-494582AEC5C7}"/>
                </c:ext>
              </c:extLst>
            </c:dLbl>
            <c:dLbl>
              <c:idx val="2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8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079B-44EA-AA7F-494582AEC5C7}"/>
                </c:ext>
              </c:extLst>
            </c:dLbl>
            <c:dLbl>
              <c:idx val="2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8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079B-44EA-AA7F-494582AEC5C7}"/>
                </c:ext>
              </c:extLst>
            </c:dLbl>
            <c:dLbl>
              <c:idx val="2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  <a:lumOff val="4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079B-44EA-AA7F-494582AEC5C7}"/>
                </c:ext>
              </c:extLst>
            </c:dLbl>
            <c:dLbl>
              <c:idx val="2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60000"/>
                          <a:lumOff val="4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079B-44EA-AA7F-494582AEC5C7}"/>
                </c:ext>
              </c:extLst>
            </c:dLbl>
            <c:dLbl>
              <c:idx val="26"/>
              <c:layout>
                <c:manualLayout>
                  <c:x val="-0.15026715605735869"/>
                  <c:y val="-3.740601739713915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60000"/>
                          <a:lumOff val="4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079B-44EA-AA7F-494582AEC5C7}"/>
                </c:ext>
              </c:extLst>
            </c:dLbl>
            <c:dLbl>
              <c:idx val="27"/>
              <c:layout>
                <c:manualLayout>
                  <c:x val="-0.20624612020322616"/>
                  <c:y val="-0.13411821599886087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60000"/>
                          <a:lumOff val="4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079B-44EA-AA7F-494582AEC5C7}"/>
                </c:ext>
              </c:extLst>
            </c:dLbl>
            <c:dLbl>
              <c:idx val="28"/>
              <c:layout>
                <c:manualLayout>
                  <c:x val="-0.30507961721268861"/>
                  <c:y val="2.0237998178959282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60000"/>
                          <a:lumOff val="4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079B-44EA-AA7F-494582AEC5C7}"/>
                </c:ext>
              </c:extLst>
            </c:dLbl>
            <c:dLbl>
              <c:idx val="29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60000"/>
                          <a:lumOff val="4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079B-44EA-AA7F-494582AEC5C7}"/>
                </c:ext>
              </c:extLst>
            </c:dLbl>
            <c:dLbl>
              <c:idx val="3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F-079B-44EA-AA7F-494582AEC5C7}"/>
                </c:ext>
              </c:extLst>
            </c:dLbl>
            <c:dLbl>
              <c:idx val="31"/>
              <c:layout>
                <c:manualLayout>
                  <c:x val="-0.1245550901719412"/>
                  <c:y val="-7.9157832700347763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8386710681441293"/>
                      <c:h val="4.4685996004158395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20-079B-44EA-AA7F-494582AEC5C7}"/>
                </c:ext>
              </c:extLst>
            </c:dLbl>
            <c:dLbl>
              <c:idx val="32"/>
              <c:layout>
                <c:manualLayout>
                  <c:x val="-0.290584285485044"/>
                  <c:y val="-6.404238325819204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079B-44EA-AA7F-494582AEC5C7}"/>
                </c:ext>
              </c:extLst>
            </c:dLbl>
            <c:dLbl>
              <c:idx val="33"/>
              <c:layout>
                <c:manualLayout>
                  <c:x val="0.11709443829322755"/>
                  <c:y val="-1.220054169684934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079B-44EA-AA7F-494582AEC5C7}"/>
                </c:ext>
              </c:extLst>
            </c:dLbl>
            <c:dLbl>
              <c:idx val="34"/>
              <c:layout>
                <c:manualLayout>
                  <c:x val="0.1290614455195738"/>
                  <c:y val="-0.11360139394187606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079B-44EA-AA7F-494582AEC5C7}"/>
                </c:ext>
              </c:extLst>
            </c:dLbl>
            <c:dLbl>
              <c:idx val="35"/>
              <c:layout>
                <c:manualLayout>
                  <c:x val="0.17765583589620199"/>
                  <c:y val="-5.251373229788533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079B-44EA-AA7F-494582AEC5C7}"/>
                </c:ext>
              </c:extLst>
            </c:dLbl>
            <c:dLbl>
              <c:idx val="36"/>
              <c:layout>
                <c:manualLayout>
                  <c:x val="-0.21205299557205787"/>
                  <c:y val="-4.149847737310627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70000"/>
                          <a:lumOff val="3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079B-44EA-AA7F-494582AEC5C7}"/>
                </c:ext>
              </c:extLst>
            </c:dLbl>
            <c:dLbl>
              <c:idx val="37"/>
              <c:layout>
                <c:manualLayout>
                  <c:x val="-0.1362917147622916"/>
                  <c:y val="-8.0744750656167985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539D3BF7-9371-4E12-8C7E-38E653419CC9}" type="CATEGORYNAME">
                      <a:rPr lang="en-US" sz="1200"/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[CATEGORY NAME]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0497630229938029"/>
                      <c:h val="3.6973596414493035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26-079B-44EA-AA7F-494582AEC5C7}"/>
                </c:ext>
              </c:extLst>
            </c:dLbl>
            <c:dLbl>
              <c:idx val="38"/>
              <c:layout>
                <c:manualLayout>
                  <c:x val="-0.305726724815437"/>
                  <c:y val="8.4155614408512359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70000"/>
                          <a:lumOff val="3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079B-44EA-AA7F-494582AEC5C7}"/>
                </c:ext>
              </c:extLst>
            </c:dLbl>
            <c:dLbl>
              <c:idx val="39"/>
              <c:layout>
                <c:manualLayout>
                  <c:x val="-0.17797700787831092"/>
                  <c:y val="-0.1234577356128337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70000"/>
                          <a:lumOff val="3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079B-44EA-AA7F-494582AEC5C7}"/>
                </c:ext>
              </c:extLst>
            </c:dLbl>
            <c:dLbl>
              <c:idx val="40"/>
              <c:layout>
                <c:manualLayout>
                  <c:x val="5.331104635468633E-2"/>
                  <c:y val="-5.5854522090988623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70000"/>
                          <a:lumOff val="3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079B-44EA-AA7F-494582AEC5C7}"/>
                </c:ext>
              </c:extLst>
            </c:dLbl>
            <c:dLbl>
              <c:idx val="41"/>
              <c:layout>
                <c:manualLayout>
                  <c:x val="-7.7240577382879413E-2"/>
                  <c:y val="-1.811378879807635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70000"/>
                          <a:lumOff val="3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079B-44EA-AA7F-494582AEC5C7}"/>
                </c:ext>
              </c:extLst>
            </c:dLbl>
            <c:dLbl>
              <c:idx val="42"/>
              <c:layout>
                <c:manualLayout>
                  <c:x val="-4.2533174072131905E-2"/>
                  <c:y val="-0.10128318577899321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7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079B-44EA-AA7F-494582AEC5C7}"/>
                </c:ext>
              </c:extLst>
            </c:dLbl>
            <c:dLbl>
              <c:idx val="43"/>
              <c:layout>
                <c:manualLayout>
                  <c:x val="0.20624299114654429"/>
                  <c:y val="3.80699092300962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7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079B-44EA-AA7F-494582AEC5C7}"/>
                </c:ext>
              </c:extLst>
            </c:dLbl>
            <c:dLbl>
              <c:idx val="44"/>
              <c:layout>
                <c:manualLayout>
                  <c:x val="-8.9654759500703479E-2"/>
                  <c:y val="-5.3970021325459319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028CC0E-058E-4190-8481-4171E354A069}" type="CATEGORYNAME">
                      <a:rPr lang="en-US" sz="1200"/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[CATEGORY NAME]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0566432115068584"/>
                      <c:h val="3.4261947725284334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2D-079B-44EA-AA7F-494582AEC5C7}"/>
                </c:ext>
              </c:extLst>
            </c:dLbl>
            <c:dLbl>
              <c:idx val="45"/>
              <c:layout>
                <c:manualLayout>
                  <c:x val="0.1720876561796254"/>
                  <c:y val="8.6973698600174981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7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E-079B-44EA-AA7F-494582AEC5C7}"/>
                </c:ext>
              </c:extLst>
            </c:dLbl>
            <c:dLbl>
              <c:idx val="46"/>
              <c:layout>
                <c:manualLayout>
                  <c:x val="0.12834250972015773"/>
                  <c:y val="-2.7746336395450568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7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F-079B-44EA-AA7F-494582AEC5C7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Sheet2!$A$1:$A$47</c:f>
              <c:strCache>
                <c:ptCount val="47"/>
                <c:pt idx="0">
                  <c:v>Total Field Trips</c:v>
                </c:pt>
                <c:pt idx="1">
                  <c:v>Teacher Supplies</c:v>
                </c:pt>
                <c:pt idx="2">
                  <c:v>School Supplies</c:v>
                </c:pt>
                <c:pt idx="3">
                  <c:v>Fun Run supplies, prizes, and T-shirts</c:v>
                </c:pt>
                <c:pt idx="4">
                  <c:v>Book Fair</c:v>
                </c:pt>
                <c:pt idx="5">
                  <c:v>Class Parties</c:v>
                </c:pt>
                <c:pt idx="6">
                  <c:v>Assemblies</c:v>
                </c:pt>
                <c:pt idx="7">
                  <c:v>5th Grade Send Off (Expenses)</c:v>
                </c:pt>
                <c:pt idx="8">
                  <c:v>Art Literacy</c:v>
                </c:pt>
                <c:pt idx="9">
                  <c:v>Battle of the Books</c:v>
                </c:pt>
                <c:pt idx="10">
                  <c:v>Staff Appreciation/Conference</c:v>
                </c:pt>
                <c:pt idx="11">
                  <c:v>Community Fundraiser (Flow through)</c:v>
                </c:pt>
                <c:pt idx="12">
                  <c:v>Fun Run - Pledgestar fees</c:v>
                </c:pt>
                <c:pt idx="13">
                  <c:v>Unbudgeted Expense</c:v>
                </c:pt>
                <c:pt idx="14">
                  <c:v>Book Fair profit</c:v>
                </c:pt>
                <c:pt idx="15">
                  <c:v>Donut with Your Grown-Up/Movie night</c:v>
                </c:pt>
                <c:pt idx="16">
                  <c:v>Science Expo </c:v>
                </c:pt>
                <c:pt idx="17">
                  <c:v>Dues &amp; Subscriptions</c:v>
                </c:pt>
                <c:pt idx="18">
                  <c:v>Book Room</c:v>
                </c:pt>
                <c:pt idx="19">
                  <c:v>PTO Meetings</c:v>
                </c:pt>
                <c:pt idx="20">
                  <c:v>PTO Supplies</c:v>
                </c:pt>
                <c:pt idx="21">
                  <c:v>Restaurant Nights (PE)</c:v>
                </c:pt>
                <c:pt idx="22">
                  <c:v>Restaurant Nights (Music)</c:v>
                </c:pt>
                <c:pt idx="23">
                  <c:v>Scholastic (Kindy)</c:v>
                </c:pt>
                <c:pt idx="24">
                  <c:v>Scholastic (3rd Grade)</c:v>
                </c:pt>
                <c:pt idx="25">
                  <c:v>Scholastic (5th Grade)</c:v>
                </c:pt>
                <c:pt idx="26">
                  <c:v>Sunshine Fund</c:v>
                </c:pt>
                <c:pt idx="27">
                  <c:v>Insurance</c:v>
                </c:pt>
                <c:pt idx="28">
                  <c:v>Staff Meals (Principal)</c:v>
                </c:pt>
                <c:pt idx="29">
                  <c:v>Clothes Closet Donation</c:v>
                </c:pt>
                <c:pt idx="30">
                  <c:v>Planners</c:v>
                </c:pt>
                <c:pt idx="31">
                  <c:v>Restaurant Nights (Tech)</c:v>
                </c:pt>
                <c:pt idx="32">
                  <c:v>Brain Pop (Peterson)</c:v>
                </c:pt>
                <c:pt idx="33">
                  <c:v>Field Day (Villegas)</c:v>
                </c:pt>
                <c:pt idx="34">
                  <c:v>Geography Club</c:v>
                </c:pt>
                <c:pt idx="35">
                  <c:v>Meet Your Teacher</c:v>
                </c:pt>
                <c:pt idx="36">
                  <c:v>Oregon Trail (4th Grade)</c:v>
                </c:pt>
                <c:pt idx="37">
                  <c:v>Wellness (SEL) Center</c:v>
                </c:pt>
                <c:pt idx="38">
                  <c:v>Taxes &amp; Licenses</c:v>
                </c:pt>
                <c:pt idx="39">
                  <c:v>Reading Online Program (RAZ)</c:v>
                </c:pt>
                <c:pt idx="40">
                  <c:v>Boohoo Woohoo (welcome new families)</c:v>
                </c:pt>
                <c:pt idx="41">
                  <c:v>Chess Club</c:v>
                </c:pt>
                <c:pt idx="42">
                  <c:v>Emergency Buckets</c:v>
                </c:pt>
                <c:pt idx="43">
                  <c:v>Garden Area (Kindy)</c:v>
                </c:pt>
                <c:pt idx="44">
                  <c:v>Pack Leaders</c:v>
                </c:pt>
                <c:pt idx="45">
                  <c:v>Summer Reading Party</c:v>
                </c:pt>
                <c:pt idx="46">
                  <c:v>Dry Cleaining (Furry Grover)</c:v>
                </c:pt>
              </c:strCache>
            </c:strRef>
          </c:cat>
          <c:val>
            <c:numRef>
              <c:f>Sheet2!$B$1:$B$47</c:f>
              <c:numCache>
                <c:formatCode>_(* #,##0_);_(* \(#,##0\);_(* "-"??_);_(@_)</c:formatCode>
                <c:ptCount val="47"/>
                <c:pt idx="0">
                  <c:v>11800</c:v>
                </c:pt>
                <c:pt idx="1">
                  <c:v>8250</c:v>
                </c:pt>
                <c:pt idx="2">
                  <c:v>7000</c:v>
                </c:pt>
                <c:pt idx="3">
                  <c:v>5000</c:v>
                </c:pt>
                <c:pt idx="4">
                  <c:v>4000</c:v>
                </c:pt>
                <c:pt idx="5">
                  <c:v>2700</c:v>
                </c:pt>
                <c:pt idx="6">
                  <c:v>2000</c:v>
                </c:pt>
                <c:pt idx="7">
                  <c:v>1500</c:v>
                </c:pt>
                <c:pt idx="8">
                  <c:v>1500</c:v>
                </c:pt>
                <c:pt idx="9">
                  <c:v>1500</c:v>
                </c:pt>
                <c:pt idx="10">
                  <c:v>1350</c:v>
                </c:pt>
                <c:pt idx="11">
                  <c:v>1000</c:v>
                </c:pt>
                <c:pt idx="12">
                  <c:v>1000</c:v>
                </c:pt>
                <c:pt idx="13">
                  <c:v>1000</c:v>
                </c:pt>
                <c:pt idx="14">
                  <c:v>890</c:v>
                </c:pt>
                <c:pt idx="15">
                  <c:v>750</c:v>
                </c:pt>
                <c:pt idx="16">
                  <c:v>750</c:v>
                </c:pt>
                <c:pt idx="17">
                  <c:v>600</c:v>
                </c:pt>
                <c:pt idx="18">
                  <c:v>500</c:v>
                </c:pt>
                <c:pt idx="19">
                  <c:v>500</c:v>
                </c:pt>
                <c:pt idx="20">
                  <c:v>500</c:v>
                </c:pt>
                <c:pt idx="21">
                  <c:v>500</c:v>
                </c:pt>
                <c:pt idx="22">
                  <c:v>500</c:v>
                </c:pt>
                <c:pt idx="23">
                  <c:v>500</c:v>
                </c:pt>
                <c:pt idx="24">
                  <c:v>500</c:v>
                </c:pt>
                <c:pt idx="25">
                  <c:v>500</c:v>
                </c:pt>
                <c:pt idx="26">
                  <c:v>500</c:v>
                </c:pt>
                <c:pt idx="27">
                  <c:v>340</c:v>
                </c:pt>
                <c:pt idx="28">
                  <c:v>300</c:v>
                </c:pt>
                <c:pt idx="29">
                  <c:v>250</c:v>
                </c:pt>
                <c:pt idx="30">
                  <c:v>250</c:v>
                </c:pt>
                <c:pt idx="31">
                  <c:v>250</c:v>
                </c:pt>
                <c:pt idx="32">
                  <c:v>230</c:v>
                </c:pt>
                <c:pt idx="33">
                  <c:v>200</c:v>
                </c:pt>
                <c:pt idx="34">
                  <c:v>200</c:v>
                </c:pt>
                <c:pt idx="35">
                  <c:v>200</c:v>
                </c:pt>
                <c:pt idx="36">
                  <c:v>200</c:v>
                </c:pt>
                <c:pt idx="37">
                  <c:v>150</c:v>
                </c:pt>
                <c:pt idx="38">
                  <c:v>140</c:v>
                </c:pt>
                <c:pt idx="39">
                  <c:v>120</c:v>
                </c:pt>
                <c:pt idx="40">
                  <c:v>100</c:v>
                </c:pt>
                <c:pt idx="41">
                  <c:v>100</c:v>
                </c:pt>
                <c:pt idx="42">
                  <c:v>100</c:v>
                </c:pt>
                <c:pt idx="43">
                  <c:v>100</c:v>
                </c:pt>
                <c:pt idx="44">
                  <c:v>100</c:v>
                </c:pt>
                <c:pt idx="45">
                  <c:v>75</c:v>
                </c:pt>
                <c:pt idx="46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9B-44EA-AA7F-494582AEC5C7}"/>
            </c:ext>
          </c:extLst>
        </c:ser>
        <c:dLbls>
          <c:showLegendKey val="0"/>
          <c:showVal val="0"/>
          <c:showCatName val="1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F3F-4312-AA0F-DE34E0EB2DAD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F3F-4312-AA0F-DE34E0EB2DAD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9F3F-4312-AA0F-DE34E0EB2DAD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9F3F-4312-AA0F-DE34E0EB2DAD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9F3F-4312-AA0F-DE34E0EB2DAD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9F3F-4312-AA0F-DE34E0EB2DAD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9F3F-4312-AA0F-DE34E0EB2DAD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9F3F-4312-AA0F-DE34E0EB2DAD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9F3F-4312-AA0F-DE34E0EB2DAD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9F3F-4312-AA0F-DE34E0EB2DAD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9F3F-4312-AA0F-DE34E0EB2DAD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9F3F-4312-AA0F-DE34E0EB2DAD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9F3F-4312-AA0F-DE34E0EB2DAD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9F3F-4312-AA0F-DE34E0EB2DAD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9F3F-4312-AA0F-DE34E0EB2DAD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9F3F-4312-AA0F-DE34E0EB2DAD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9F3F-4312-AA0F-DE34E0EB2DAD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9F3F-4312-AA0F-DE34E0EB2DAD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9F3F-4312-AA0F-DE34E0EB2DAD}"/>
              </c:ext>
            </c:extLst>
          </c:dPt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Sheet1!$A$1:$A$19</c:f>
              <c:strCache>
                <c:ptCount val="19"/>
                <c:pt idx="0">
                  <c:v>PTO Meetings</c:v>
                </c:pt>
                <c:pt idx="1">
                  <c:v>Meet Your Teacher</c:v>
                </c:pt>
                <c:pt idx="2">
                  <c:v>Dues &amp; Subscriptions</c:v>
                </c:pt>
                <c:pt idx="3">
                  <c:v>Battle of the Books</c:v>
                </c:pt>
                <c:pt idx="4">
                  <c:v>Taxes &amp; Licenses</c:v>
                </c:pt>
                <c:pt idx="5">
                  <c:v>Emergency Buckets</c:v>
                </c:pt>
                <c:pt idx="6">
                  <c:v>Sunshine Fund</c:v>
                </c:pt>
                <c:pt idx="7">
                  <c:v>Class Parties</c:v>
                </c:pt>
                <c:pt idx="8">
                  <c:v>Staff Meals (Principal)</c:v>
                </c:pt>
                <c:pt idx="9">
                  <c:v>Clothes Closet Donation</c:v>
                </c:pt>
                <c:pt idx="10">
                  <c:v>Insurance</c:v>
                </c:pt>
                <c:pt idx="11">
                  <c:v>Scholastic (3rd Grade)</c:v>
                </c:pt>
                <c:pt idx="12">
                  <c:v>Scholastic (5th Grade)</c:v>
                </c:pt>
                <c:pt idx="13">
                  <c:v>Staff Appreciation/Conference</c:v>
                </c:pt>
                <c:pt idx="14">
                  <c:v>Total Field Trips</c:v>
                </c:pt>
                <c:pt idx="15">
                  <c:v>Fun Run - Pledgestar fees</c:v>
                </c:pt>
                <c:pt idx="16">
                  <c:v>Teacher Supplies</c:v>
                </c:pt>
                <c:pt idx="17">
                  <c:v>Fun Run supplies, prizes, and T-shirts</c:v>
                </c:pt>
                <c:pt idx="18">
                  <c:v>School Supplies</c:v>
                </c:pt>
              </c:strCache>
            </c:strRef>
          </c:cat>
          <c:val>
            <c:numRef>
              <c:f>Sheet1!$B$1:$B$19</c:f>
              <c:numCache>
                <c:formatCode>_("$"* #,##0.00_);_("$"* \(#,##0.00\);_("$"* "-"??_);_(@_)</c:formatCode>
                <c:ptCount val="19"/>
                <c:pt idx="0">
                  <c:v>9.5</c:v>
                </c:pt>
                <c:pt idx="1">
                  <c:v>33.57</c:v>
                </c:pt>
                <c:pt idx="2">
                  <c:v>41.34</c:v>
                </c:pt>
                <c:pt idx="3">
                  <c:v>65</c:v>
                </c:pt>
                <c:pt idx="4">
                  <c:v>90</c:v>
                </c:pt>
                <c:pt idx="5">
                  <c:v>101.92</c:v>
                </c:pt>
                <c:pt idx="6">
                  <c:v>109.9</c:v>
                </c:pt>
                <c:pt idx="7">
                  <c:v>139.02000000000001</c:v>
                </c:pt>
                <c:pt idx="8">
                  <c:v>235</c:v>
                </c:pt>
                <c:pt idx="9">
                  <c:v>250</c:v>
                </c:pt>
                <c:pt idx="10">
                  <c:v>335</c:v>
                </c:pt>
                <c:pt idx="11">
                  <c:v>395.34</c:v>
                </c:pt>
                <c:pt idx="12">
                  <c:v>460.68</c:v>
                </c:pt>
                <c:pt idx="13">
                  <c:v>552.43000000000006</c:v>
                </c:pt>
                <c:pt idx="14">
                  <c:v>666.3</c:v>
                </c:pt>
                <c:pt idx="15">
                  <c:v>995</c:v>
                </c:pt>
                <c:pt idx="16">
                  <c:v>1145.69</c:v>
                </c:pt>
                <c:pt idx="17">
                  <c:v>3485.6299999999997</c:v>
                </c:pt>
                <c:pt idx="18">
                  <c:v>4431.88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94-4DCA-8C7C-A580F7495B24}"/>
            </c:ext>
          </c:extLst>
        </c:ser>
        <c:dLbls>
          <c:dLblPos val="bestFit"/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ln>
                  <a:noFill/>
                </a:ln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r>
              <a:rPr lang="en-US" i="1">
                <a:solidFill>
                  <a:schemeClr val="tx1"/>
                </a:solidFill>
              </a:rPr>
              <a:t>November Expenses</a:t>
            </a:r>
            <a:r>
              <a:rPr lang="en-US" i="1" baseline="0">
                <a:solidFill>
                  <a:schemeClr val="tx1"/>
                </a:solidFill>
              </a:rPr>
              <a:t> to Date</a:t>
            </a:r>
            <a:endParaRPr lang="en-US" i="1">
              <a:solidFill>
                <a:schemeClr val="tx1"/>
              </a:solidFill>
            </a:endParaRPr>
          </a:p>
        </c:rich>
      </c:tx>
      <c:layout>
        <c:manualLayout>
          <c:xMode val="edge"/>
          <c:yMode val="edge"/>
          <c:x val="0.38549775115524143"/>
          <c:y val="5.945283585625836E-3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ln>
                <a:noFill/>
              </a:ln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E4C4-4602-92A5-DCEF8794459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E4C4-4602-92A5-DCEF8794459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3AE9-430D-ACE8-37EEC827C59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E4C4-4602-92A5-DCEF8794459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3AE9-430D-ACE8-37EEC827C59E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3AE9-430D-ACE8-37EEC827C59E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C-E4C4-4602-92A5-DCEF8794459C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E4C4-4602-92A5-DCEF8794459C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E4C4-4602-92A5-DCEF8794459C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E4C4-4602-92A5-DCEF8794459C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8-E4C4-4602-92A5-DCEF8794459C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3AE9-430D-ACE8-37EEC827C59E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E4C4-4602-92A5-DCEF8794459C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6-E4C4-4602-92A5-DCEF8794459C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E4C4-4602-92A5-DCEF8794459C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E4C4-4602-92A5-DCEF8794459C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3AE9-430D-ACE8-37EEC827C59E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3AE9-430D-ACE8-37EEC827C59E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3AE9-430D-ACE8-37EEC827C59E}"/>
              </c:ext>
            </c:extLst>
          </c:dPt>
          <c:dLbls>
            <c:dLbl>
              <c:idx val="0"/>
              <c:layout>
                <c:manualLayout>
                  <c:x val="-0.35205093154831418"/>
                  <c:y val="1.096921815843786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655513892509006"/>
                      <c:h val="0.1114223576388596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4-E4C4-4602-92A5-DCEF8794459C}"/>
                </c:ext>
              </c:extLst>
            </c:dLbl>
            <c:dLbl>
              <c:idx val="1"/>
              <c:layout>
                <c:manualLayout>
                  <c:x val="-0.29606684339246297"/>
                  <c:y val="0.1227662348839958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4C4-4602-92A5-DCEF8794459C}"/>
                </c:ext>
              </c:extLst>
            </c:dLbl>
            <c:dLbl>
              <c:idx val="3"/>
              <c:layout>
                <c:manualLayout>
                  <c:x val="-0.40461962268448776"/>
                  <c:y val="0.31238608040525134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0947826922444937"/>
                      <c:h val="0.12138189798646717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E4C4-4602-92A5-DCEF8794459C}"/>
                </c:ext>
              </c:extLst>
            </c:dLbl>
            <c:dLbl>
              <c:idx val="6"/>
              <c:layout>
                <c:manualLayout>
                  <c:x val="0.18607627153165979"/>
                  <c:y val="-4.720441835753613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E4C4-4602-92A5-DCEF8794459C}"/>
                </c:ext>
              </c:extLst>
            </c:dLbl>
            <c:dLbl>
              <c:idx val="7"/>
              <c:layout>
                <c:manualLayout>
                  <c:x val="0.28506795821095271"/>
                  <c:y val="-3.71944956727650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1568458620627"/>
                      <c:h val="9.7105518389173737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E4C4-4602-92A5-DCEF8794459C}"/>
                </c:ext>
              </c:extLst>
            </c:dLbl>
            <c:dLbl>
              <c:idx val="8"/>
              <c:layout>
                <c:manualLayout>
                  <c:x val="0.31864938437199281"/>
                  <c:y val="0.11995933139255487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E4C4-4602-92A5-DCEF8794459C}"/>
                </c:ext>
              </c:extLst>
            </c:dLbl>
            <c:dLbl>
              <c:idx val="9"/>
              <c:layout>
                <c:manualLayout>
                  <c:x val="4.6196728574213169E-2"/>
                  <c:y val="6.9180574896821707E-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7160490420356365"/>
                      <c:h val="6.9716782433252938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E4C4-4602-92A5-DCEF8794459C}"/>
                </c:ext>
              </c:extLst>
            </c:dLbl>
            <c:dLbl>
              <c:idx val="10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8.5623246926343377E-2"/>
                      <c:h val="6.9094311161527477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8-E4C4-4602-92A5-DCEF8794459C}"/>
                </c:ext>
              </c:extLst>
            </c:dLbl>
            <c:dLbl>
              <c:idx val="12"/>
              <c:layout>
                <c:manualLayout>
                  <c:x val="9.2948528764678712E-2"/>
                  <c:y val="0.106216262285727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E4C4-4602-92A5-DCEF8794459C}"/>
                </c:ext>
              </c:extLst>
            </c:dLbl>
            <c:dLbl>
              <c:idx val="13"/>
              <c:layout>
                <c:manualLayout>
                  <c:x val="5.1429138382720528E-2"/>
                  <c:y val="0.14686910674098158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E4C4-4602-92A5-DCEF8794459C}"/>
                </c:ext>
              </c:extLst>
            </c:dLbl>
            <c:dLbl>
              <c:idx val="14"/>
              <c:layout>
                <c:manualLayout>
                  <c:x val="7.2284521675083591E-2"/>
                  <c:y val="0.1838542911404987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4C4-4602-92A5-DCEF8794459C}"/>
                </c:ext>
              </c:extLst>
            </c:dLbl>
            <c:dLbl>
              <c:idx val="15"/>
              <c:layout>
                <c:manualLayout>
                  <c:x val="5.5517861365321025E-2"/>
                  <c:y val="0.2137908939968040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7782803317917445"/>
                      <c:h val="6.3836978196836938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E4C4-4602-92A5-DCEF8794459C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ln>
                      <a:noFill/>
                    </a:ln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Sheet1!$A$1:$A$19</c:f>
              <c:strCache>
                <c:ptCount val="19"/>
                <c:pt idx="0">
                  <c:v>PTO Meetings</c:v>
                </c:pt>
                <c:pt idx="1">
                  <c:v>Meet Your Teacher</c:v>
                </c:pt>
                <c:pt idx="2">
                  <c:v>Dues &amp; Subscriptions</c:v>
                </c:pt>
                <c:pt idx="3">
                  <c:v>Battle of the Books</c:v>
                </c:pt>
                <c:pt idx="4">
                  <c:v>Taxes &amp; Licenses</c:v>
                </c:pt>
                <c:pt idx="5">
                  <c:v>Emergency Buckets</c:v>
                </c:pt>
                <c:pt idx="6">
                  <c:v>Sunshine Fund</c:v>
                </c:pt>
                <c:pt idx="7">
                  <c:v>Class Parties</c:v>
                </c:pt>
                <c:pt idx="8">
                  <c:v>Staff Meals (Principal)</c:v>
                </c:pt>
                <c:pt idx="9">
                  <c:v>Clothes Closet Donation</c:v>
                </c:pt>
                <c:pt idx="10">
                  <c:v>Insurance</c:v>
                </c:pt>
                <c:pt idx="11">
                  <c:v>Scholastic (3rd Grade)</c:v>
                </c:pt>
                <c:pt idx="12">
                  <c:v>Scholastic (5th Grade)</c:v>
                </c:pt>
                <c:pt idx="13">
                  <c:v>Staff Appreciation/Conference</c:v>
                </c:pt>
                <c:pt idx="14">
                  <c:v>Total Field Trips</c:v>
                </c:pt>
                <c:pt idx="15">
                  <c:v>Fun Run - Pledgestar fees</c:v>
                </c:pt>
                <c:pt idx="16">
                  <c:v>Teacher Supplies</c:v>
                </c:pt>
                <c:pt idx="17">
                  <c:v>Fun Run supplies, prizes, and T-shirts</c:v>
                </c:pt>
                <c:pt idx="18">
                  <c:v>School Supplies</c:v>
                </c:pt>
              </c:strCache>
            </c:strRef>
          </c:cat>
          <c:val>
            <c:numRef>
              <c:f>Sheet1!$B$1:$B$19</c:f>
              <c:numCache>
                <c:formatCode>_("$"* #,##0.00_);_("$"* \(#,##0.00\);_("$"* "-"??_);_(@_)</c:formatCode>
                <c:ptCount val="19"/>
                <c:pt idx="0">
                  <c:v>9.5</c:v>
                </c:pt>
                <c:pt idx="1">
                  <c:v>33.57</c:v>
                </c:pt>
                <c:pt idx="2">
                  <c:v>41.34</c:v>
                </c:pt>
                <c:pt idx="3">
                  <c:v>65</c:v>
                </c:pt>
                <c:pt idx="4">
                  <c:v>90</c:v>
                </c:pt>
                <c:pt idx="5">
                  <c:v>101.92</c:v>
                </c:pt>
                <c:pt idx="6">
                  <c:v>109.9</c:v>
                </c:pt>
                <c:pt idx="7">
                  <c:v>139.02000000000001</c:v>
                </c:pt>
                <c:pt idx="8">
                  <c:v>235</c:v>
                </c:pt>
                <c:pt idx="9">
                  <c:v>250</c:v>
                </c:pt>
                <c:pt idx="10">
                  <c:v>335</c:v>
                </c:pt>
                <c:pt idx="11">
                  <c:v>395.34</c:v>
                </c:pt>
                <c:pt idx="12">
                  <c:v>460.68</c:v>
                </c:pt>
                <c:pt idx="13">
                  <c:v>552.43000000000006</c:v>
                </c:pt>
                <c:pt idx="14">
                  <c:v>666.3</c:v>
                </c:pt>
                <c:pt idx="15">
                  <c:v>995</c:v>
                </c:pt>
                <c:pt idx="16">
                  <c:v>1145.69</c:v>
                </c:pt>
                <c:pt idx="17">
                  <c:v>3485.6299999999997</c:v>
                </c:pt>
                <c:pt idx="18">
                  <c:v>4431.88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C4-4602-92A5-DCEF8794459C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>
          <a:ln>
            <a:noFill/>
          </a:ln>
          <a:solidFill>
            <a:schemeClr val="bg1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5.emf"/><Relationship Id="rId4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95</xdr:row>
      <xdr:rowOff>15875</xdr:rowOff>
    </xdr:from>
    <xdr:to>
      <xdr:col>9</xdr:col>
      <xdr:colOff>270739</xdr:colOff>
      <xdr:row>121</xdr:row>
      <xdr:rowOff>111125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A24C12A-6D71-58FD-25E0-CF60062D55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5192375"/>
          <a:ext cx="5946052" cy="4222750"/>
        </a:xfrm>
        <a:prstGeom prst="rect">
          <a:avLst/>
        </a:prstGeom>
      </xdr:spPr>
    </xdr:pic>
    <xdr:clientData/>
  </xdr:twoCellAnchor>
  <xdr:twoCellAnchor editAs="oneCell">
    <xdr:from>
      <xdr:col>0</xdr:col>
      <xdr:colOff>261938</xdr:colOff>
      <xdr:row>86</xdr:row>
      <xdr:rowOff>166688</xdr:rowOff>
    </xdr:from>
    <xdr:to>
      <xdr:col>0</xdr:col>
      <xdr:colOff>1957206</xdr:colOff>
      <xdr:row>94</xdr:row>
      <xdr:rowOff>39688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FE8E21C-E7E9-2184-6EA5-03B581E490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61938" y="13898563"/>
          <a:ext cx="1695268" cy="1158875"/>
        </a:xfrm>
        <a:prstGeom prst="rect">
          <a:avLst/>
        </a:prstGeom>
      </xdr:spPr>
    </xdr:pic>
    <xdr:clientData/>
  </xdr:twoCellAnchor>
  <xdr:twoCellAnchor editAs="oneCell">
    <xdr:from>
      <xdr:col>9</xdr:col>
      <xdr:colOff>301625</xdr:colOff>
      <xdr:row>89</xdr:row>
      <xdr:rowOff>142874</xdr:rowOff>
    </xdr:from>
    <xdr:to>
      <xdr:col>16</xdr:col>
      <xdr:colOff>97343</xdr:colOff>
      <xdr:row>123</xdr:row>
      <xdr:rowOff>111125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FFA3648C-4326-4F6B-2A8D-FE6DC47045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976938" y="14366874"/>
          <a:ext cx="3105655" cy="536575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51</xdr:row>
      <xdr:rowOff>0</xdr:rowOff>
    </xdr:from>
    <xdr:to>
      <xdr:col>8</xdr:col>
      <xdr:colOff>292207</xdr:colOff>
      <xdr:row>56</xdr:row>
      <xdr:rowOff>189230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72249F9-3EDC-4DC3-8E5E-96F148352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6833" y="9715500"/>
          <a:ext cx="3139123" cy="11417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58420</xdr:colOff>
      <xdr:row>1</xdr:row>
      <xdr:rowOff>55880</xdr:rowOff>
    </xdr:from>
    <xdr:to>
      <xdr:col>17</xdr:col>
      <xdr:colOff>548640</xdr:colOff>
      <xdr:row>16</xdr:row>
      <xdr:rowOff>43180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C73B611-8F5A-4168-9DF4-7E32A98BFF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73660</xdr:colOff>
      <xdr:row>16</xdr:row>
      <xdr:rowOff>76200</xdr:rowOff>
    </xdr:from>
    <xdr:to>
      <xdr:col>18</xdr:col>
      <xdr:colOff>0</xdr:colOff>
      <xdr:row>89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4200F4E-606C-480C-907C-9768CC0F40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57148</xdr:colOff>
      <xdr:row>2</xdr:row>
      <xdr:rowOff>47625</xdr:rowOff>
    </xdr:from>
    <xdr:to>
      <xdr:col>18</xdr:col>
      <xdr:colOff>504825</xdr:colOff>
      <xdr:row>43</xdr:row>
      <xdr:rowOff>123824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7493C9B-EFC7-C7A3-D27A-6F39A6C40F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219075</xdr:colOff>
      <xdr:row>55</xdr:row>
      <xdr:rowOff>138112</xdr:rowOff>
    </xdr:from>
    <xdr:to>
      <xdr:col>8</xdr:col>
      <xdr:colOff>390524</xdr:colOff>
      <xdr:row>83</xdr:row>
      <xdr:rowOff>57150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31B074FD-6A43-A8C6-2A12-D4CB9E830C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514348</xdr:colOff>
      <xdr:row>19</xdr:row>
      <xdr:rowOff>171451</xdr:rowOff>
    </xdr:from>
    <xdr:to>
      <xdr:col>9</xdr:col>
      <xdr:colOff>342899</xdr:colOff>
      <xdr:row>51</xdr:row>
      <xdr:rowOff>47625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51C6025B-C27F-93E3-3F1F-BB5961543E6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1531620</xdr:colOff>
      <xdr:row>99</xdr:row>
      <xdr:rowOff>121920</xdr:rowOff>
    </xdr:from>
    <xdr:to>
      <xdr:col>6</xdr:col>
      <xdr:colOff>129540</xdr:colOff>
      <xdr:row>117</xdr:row>
      <xdr:rowOff>129540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D2140513-B126-488A-8951-9F001FAA8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1620" y="15651480"/>
          <a:ext cx="3413760" cy="2887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22860</xdr:colOff>
      <xdr:row>99</xdr:row>
      <xdr:rowOff>129540</xdr:rowOff>
    </xdr:from>
    <xdr:to>
      <xdr:col>10</xdr:col>
      <xdr:colOff>38100</xdr:colOff>
      <xdr:row>117</xdr:row>
      <xdr:rowOff>137160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A975E67E-BAD2-42B5-A16B-15522DAD1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5900" y="15659100"/>
          <a:ext cx="1623060" cy="2887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243840</xdr:colOff>
      <xdr:row>2</xdr:row>
      <xdr:rowOff>45720</xdr:rowOff>
    </xdr:from>
    <xdr:to>
      <xdr:col>11</xdr:col>
      <xdr:colOff>472440</xdr:colOff>
      <xdr:row>12</xdr:row>
      <xdr:rowOff>53340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858CF234-F739-4321-AF4A-4A89F3D2D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365760"/>
          <a:ext cx="1912620" cy="16078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1028700</xdr:colOff>
      <xdr:row>0</xdr:row>
      <xdr:rowOff>121920</xdr:rowOff>
    </xdr:from>
    <xdr:to>
      <xdr:col>7</xdr:col>
      <xdr:colOff>100281</xdr:colOff>
      <xdr:row>14</xdr:row>
      <xdr:rowOff>30480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ACE7C6A-B33F-4383-A65A-3CBCE4B189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028700" y="121920"/>
          <a:ext cx="4344621" cy="214884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blair hamilton" id="{1307B6E0-C5E3-4FB7-BEBD-DC48D9AB6BA9}" userId="bb5e5559508a9574" providerId="Windows Live"/>
</personList>
</file>

<file path=xl/theme/theme1.xml><?xml version="1.0" encoding="utf-8"?>
<a:theme xmlns:a="http://schemas.openxmlformats.org/drawingml/2006/main" name="Office Theme">
  <a:themeElements>
    <a:clrScheme name="Custom 2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FF0000"/>
      </a:accent1>
      <a:accent2>
        <a:srgbClr val="FFC000"/>
      </a:accent2>
      <a:accent3>
        <a:srgbClr val="9BBB59"/>
      </a:accent3>
      <a:accent4>
        <a:srgbClr val="FF0066"/>
      </a:accent4>
      <a:accent5>
        <a:srgbClr val="F220E3"/>
      </a:accent5>
      <a:accent6>
        <a:srgbClr val="FFFF00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40" dT="2022-09-06T18:59:04.53" personId="{1307B6E0-C5E3-4FB7-BEBD-DC48D9AB6BA9}" id="{89CE85C6-EBC9-4296-8544-2C92AC9D832B}">
    <text>Bus from last years trip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leslie_villegas@beaverton.k12.or.us" TargetMode="External"/><Relationship Id="rId18" Type="http://schemas.openxmlformats.org/officeDocument/2006/relationships/hyperlink" Target="mailto:jada_pearson@beaverton.k12.or.us" TargetMode="External"/><Relationship Id="rId26" Type="http://schemas.openxmlformats.org/officeDocument/2006/relationships/hyperlink" Target="mailto:deborah_starr@beaverton.k12.or.us" TargetMode="External"/><Relationship Id="rId3" Type="http://schemas.openxmlformats.org/officeDocument/2006/relationships/hyperlink" Target="mailto:brynn_viegas@beaverton.k12.or.us" TargetMode="External"/><Relationship Id="rId21" Type="http://schemas.openxmlformats.org/officeDocument/2006/relationships/hyperlink" Target="mailto:Rhonda_Harwood@beaverton.k12.or.us" TargetMode="External"/><Relationship Id="rId34" Type="http://schemas.openxmlformats.org/officeDocument/2006/relationships/drawing" Target="../drawings/drawing2.xml"/><Relationship Id="rId7" Type="http://schemas.openxmlformats.org/officeDocument/2006/relationships/hyperlink" Target="mailto:jessica_west@beaverton.k12.or.us" TargetMode="External"/><Relationship Id="rId12" Type="http://schemas.openxmlformats.org/officeDocument/2006/relationships/hyperlink" Target="mailto:jennifer_mohr@beaverton.k12.or.us" TargetMode="External"/><Relationship Id="rId17" Type="http://schemas.openxmlformats.org/officeDocument/2006/relationships/hyperlink" Target="mailto:jennifer_hausman@beaverton.k12.or.us" TargetMode="External"/><Relationship Id="rId25" Type="http://schemas.openxmlformats.org/officeDocument/2006/relationships/hyperlink" Target="mailto:Maureen_Caryl@beaverton.k12.or.us" TargetMode="External"/><Relationship Id="rId33" Type="http://schemas.openxmlformats.org/officeDocument/2006/relationships/printerSettings" Target="../printerSettings/printerSettings2.bin"/><Relationship Id="rId2" Type="http://schemas.openxmlformats.org/officeDocument/2006/relationships/hyperlink" Target="mailto:Tara_Trinci@beaverton.k12.or.us" TargetMode="External"/><Relationship Id="rId16" Type="http://schemas.openxmlformats.org/officeDocument/2006/relationships/hyperlink" Target="mailto:debbie_abel@beaverton.k12.or.us" TargetMode="External"/><Relationship Id="rId20" Type="http://schemas.openxmlformats.org/officeDocument/2006/relationships/hyperlink" Target="mailto:Molly_Norris@beaverton.k12.or.us" TargetMode="External"/><Relationship Id="rId29" Type="http://schemas.openxmlformats.org/officeDocument/2006/relationships/hyperlink" Target="mailto:Shiok_Choo@beaverton.k12.or.us" TargetMode="External"/><Relationship Id="rId1" Type="http://schemas.openxmlformats.org/officeDocument/2006/relationships/hyperlink" Target="mailto:Melissa_Mayes@beaverton.k12.or.us" TargetMode="External"/><Relationship Id="rId6" Type="http://schemas.openxmlformats.org/officeDocument/2006/relationships/hyperlink" Target="mailto:renee_oakes@beaverton.k12.or.us" TargetMode="External"/><Relationship Id="rId11" Type="http://schemas.openxmlformats.org/officeDocument/2006/relationships/hyperlink" Target="mailto:richard_lee@beaverton.k12.or.us" TargetMode="External"/><Relationship Id="rId24" Type="http://schemas.openxmlformats.org/officeDocument/2006/relationships/hyperlink" Target="mailto:Lindsay_Ruhnke@beaverton.k12.or.us" TargetMode="External"/><Relationship Id="rId32" Type="http://schemas.openxmlformats.org/officeDocument/2006/relationships/hyperlink" Target="mailto:Kristin_Melvin@beaverton.k12.or.us" TargetMode="External"/><Relationship Id="rId5" Type="http://schemas.openxmlformats.org/officeDocument/2006/relationships/hyperlink" Target="mailto:Kristin_Melvin@beaverton.k12.or.us" TargetMode="External"/><Relationship Id="rId15" Type="http://schemas.openxmlformats.org/officeDocument/2006/relationships/hyperlink" Target="mailto:joyce_debusk@beaverton.k12.or.us" TargetMode="External"/><Relationship Id="rId23" Type="http://schemas.openxmlformats.org/officeDocument/2006/relationships/hyperlink" Target="mailto:cheyenne_kiefel@beaverton.k12.or.us" TargetMode="External"/><Relationship Id="rId28" Type="http://schemas.openxmlformats.org/officeDocument/2006/relationships/hyperlink" Target="mailto:Brenda_Fulle@beaverton.k12.or.us" TargetMode="External"/><Relationship Id="rId10" Type="http://schemas.openxmlformats.org/officeDocument/2006/relationships/hyperlink" Target="mailto:stacy_serrao@beaverton.k12.or.us" TargetMode="External"/><Relationship Id="rId19" Type="http://schemas.openxmlformats.org/officeDocument/2006/relationships/hyperlink" Target="mailto:Michelle_King@beaverton.k12.or.us" TargetMode="External"/><Relationship Id="rId31" Type="http://schemas.openxmlformats.org/officeDocument/2006/relationships/hyperlink" Target="mailto:Kelly_Smith@beaverton.k12.or.us" TargetMode="External"/><Relationship Id="rId4" Type="http://schemas.openxmlformats.org/officeDocument/2006/relationships/hyperlink" Target="mailto:jennifer_beltran@beaverton.k12.or.us" TargetMode="External"/><Relationship Id="rId9" Type="http://schemas.openxmlformats.org/officeDocument/2006/relationships/hyperlink" Target="mailto:Jason_Peterson@beaverton.k12.or.us" TargetMode="External"/><Relationship Id="rId14" Type="http://schemas.openxmlformats.org/officeDocument/2006/relationships/hyperlink" Target="mailto:LisaKaren_Donnelly@beaverton.k12.or.us" TargetMode="External"/><Relationship Id="rId22" Type="http://schemas.openxmlformats.org/officeDocument/2006/relationships/hyperlink" Target="mailto:Greg_Leijon@beaverton.k12.or.us" TargetMode="External"/><Relationship Id="rId27" Type="http://schemas.openxmlformats.org/officeDocument/2006/relationships/hyperlink" Target="mailto:elizabeth_silver@beaverton.k12.or.us" TargetMode="External"/><Relationship Id="rId30" Type="http://schemas.openxmlformats.org/officeDocument/2006/relationships/hyperlink" Target="mailto:Sara_Dolan@beaverton.k12.or.us" TargetMode="External"/><Relationship Id="rId8" Type="http://schemas.openxmlformats.org/officeDocument/2006/relationships/hyperlink" Target="mailto:laurie_calafet@beaverton.k12.or.us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4.bin"/><Relationship Id="rId5" Type="http://schemas.openxmlformats.org/officeDocument/2006/relationships/comments" Target="../comments3.xml"/><Relationship Id="rId4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A33D3-DA36-4771-AC1B-8F5FCAF2EC6A}">
  <sheetPr>
    <pageSetUpPr fitToPage="1"/>
  </sheetPr>
  <dimension ref="A1:AA111"/>
  <sheetViews>
    <sheetView tabSelected="1" zoomScale="120" zoomScaleNormal="120" zoomScaleSheetLayoutView="13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F12" sqref="F12"/>
    </sheetView>
  </sheetViews>
  <sheetFormatPr defaultColWidth="8.85546875" defaultRowHeight="12.75" outlineLevelCol="1" x14ac:dyDescent="0.2"/>
  <cols>
    <col min="1" max="1" width="32.28515625" style="185" customWidth="1"/>
    <col min="2" max="2" width="5.5703125" style="186" bestFit="1" customWidth="1"/>
    <col min="3" max="3" width="7.140625" style="187" bestFit="1" customWidth="1"/>
    <col min="4" max="4" width="6.5703125" style="187" bestFit="1" customWidth="1"/>
    <col min="5" max="5" width="7.140625" style="187" bestFit="1" customWidth="1"/>
    <col min="6" max="6" width="7.5703125" style="187" bestFit="1" customWidth="1"/>
    <col min="7" max="7" width="6.42578125" style="187" bestFit="1" customWidth="1"/>
    <col min="8" max="8" width="6" style="187" bestFit="1" customWidth="1"/>
    <col min="9" max="9" width="6.42578125" style="187" bestFit="1" customWidth="1"/>
    <col min="10" max="10" width="6.7109375" style="188" bestFit="1" customWidth="1"/>
    <col min="11" max="11" width="6.42578125" style="187" bestFit="1" customWidth="1"/>
    <col min="12" max="12" width="7" style="187" customWidth="1"/>
    <col min="13" max="13" width="6.140625" style="187" bestFit="1" customWidth="1"/>
    <col min="14" max="14" width="7.5703125" style="189" bestFit="1" customWidth="1"/>
    <col min="15" max="15" width="8.140625" style="189" bestFit="1" customWidth="1"/>
    <col min="16" max="16" width="7.5703125" style="189" customWidth="1"/>
    <col min="17" max="17" width="7.7109375" style="400" customWidth="1" outlineLevel="1"/>
    <col min="18" max="18" width="5.28515625" style="190" customWidth="1" outlineLevel="1"/>
    <col min="19" max="19" width="11" style="190" customWidth="1" outlineLevel="1"/>
    <col min="20" max="20" width="7.28515625" style="191" customWidth="1" outlineLevel="1"/>
    <col min="21" max="21" width="11.28515625" style="190" customWidth="1" outlineLevel="1"/>
    <col min="22" max="22" width="8.85546875" style="190" customWidth="1" outlineLevel="1"/>
    <col min="23" max="23" width="8.42578125" style="190" customWidth="1" outlineLevel="1"/>
    <col min="24" max="24" width="9.28515625" style="190" customWidth="1" outlineLevel="1"/>
    <col min="25" max="25" width="5.7109375" style="190" customWidth="1"/>
    <col min="26" max="26" width="8.85546875" style="190"/>
    <col min="27" max="27" width="9.5703125" style="190" customWidth="1"/>
    <col min="28" max="16384" width="8.85546875" style="190"/>
  </cols>
  <sheetData>
    <row r="1" spans="1:27" x14ac:dyDescent="0.2">
      <c r="A1" s="289"/>
      <c r="B1" s="290">
        <v>44378</v>
      </c>
      <c r="C1" s="290">
        <v>44409</v>
      </c>
      <c r="D1" s="359">
        <v>44440</v>
      </c>
      <c r="E1" s="290">
        <v>44470</v>
      </c>
      <c r="F1" s="359">
        <v>44501</v>
      </c>
      <c r="G1" s="290">
        <v>44531</v>
      </c>
      <c r="H1" s="290">
        <v>44562</v>
      </c>
      <c r="I1" s="290">
        <v>44593</v>
      </c>
      <c r="J1" s="290">
        <v>44621</v>
      </c>
      <c r="K1" s="290">
        <v>44652</v>
      </c>
      <c r="L1" s="290">
        <v>44682</v>
      </c>
      <c r="M1" s="290">
        <v>44713</v>
      </c>
      <c r="N1" s="291" t="s">
        <v>0</v>
      </c>
      <c r="O1" s="291" t="s">
        <v>1</v>
      </c>
      <c r="P1" s="358" t="s">
        <v>2</v>
      </c>
      <c r="Q1" s="395"/>
      <c r="R1" s="192"/>
      <c r="S1" s="192"/>
      <c r="T1" s="216"/>
      <c r="U1" s="192"/>
      <c r="V1" s="192"/>
      <c r="W1" s="192"/>
      <c r="X1" s="192"/>
      <c r="Y1" s="299"/>
    </row>
    <row r="2" spans="1:27" s="208" customFormat="1" x14ac:dyDescent="0.2">
      <c r="A2" s="219" t="s">
        <v>3</v>
      </c>
      <c r="B2" s="193"/>
      <c r="C2" s="194"/>
      <c r="D2" s="360"/>
      <c r="E2" s="194"/>
      <c r="F2" s="360"/>
      <c r="G2" s="194"/>
      <c r="H2" s="194"/>
      <c r="I2" s="194"/>
      <c r="J2" s="195"/>
      <c r="K2" s="194"/>
      <c r="L2" s="194"/>
      <c r="M2" s="194"/>
      <c r="N2" s="196"/>
      <c r="O2" s="197"/>
      <c r="P2" s="198"/>
      <c r="Q2" s="395"/>
      <c r="R2" s="405"/>
      <c r="S2" s="405"/>
      <c r="T2" s="405"/>
      <c r="U2" s="405"/>
      <c r="V2" s="405"/>
      <c r="W2" s="405"/>
      <c r="X2" s="209"/>
      <c r="Y2" s="299"/>
    </row>
    <row r="3" spans="1:27" s="208" customFormat="1" x14ac:dyDescent="0.2">
      <c r="A3" s="255" t="s">
        <v>142</v>
      </c>
      <c r="B3" s="228"/>
      <c r="D3" s="361"/>
      <c r="E3" s="228"/>
      <c r="F3" s="361"/>
      <c r="G3" s="228"/>
      <c r="H3" s="228"/>
      <c r="I3" s="228"/>
      <c r="J3" s="228"/>
      <c r="K3" s="228"/>
      <c r="L3" s="228"/>
      <c r="M3" s="228"/>
      <c r="N3" s="248">
        <f>SUM(B3:M3)</f>
        <v>0</v>
      </c>
      <c r="O3" s="249">
        <v>0</v>
      </c>
      <c r="P3" s="287">
        <f>N3-O3</f>
        <v>0</v>
      </c>
      <c r="Q3" s="395"/>
      <c r="R3" s="209"/>
      <c r="S3" s="209"/>
      <c r="T3" s="209"/>
      <c r="U3" s="209"/>
      <c r="V3" s="209"/>
      <c r="W3" s="209"/>
      <c r="X3" s="209"/>
      <c r="Y3" s="299"/>
    </row>
    <row r="4" spans="1:27" s="208" customFormat="1" x14ac:dyDescent="0.2">
      <c r="A4" s="221" t="s">
        <v>126</v>
      </c>
      <c r="B4" s="222"/>
      <c r="D4" s="362"/>
      <c r="E4" s="223">
        <f>2782+88.21</f>
        <v>2870.21</v>
      </c>
      <c r="F4" s="363"/>
      <c r="G4" s="223"/>
      <c r="H4" s="222"/>
      <c r="I4" s="222"/>
      <c r="J4" s="222"/>
      <c r="K4" s="223"/>
      <c r="L4" s="223"/>
      <c r="M4" s="222"/>
      <c r="N4" s="224">
        <f>SUM(B4:M4)</f>
        <v>2870.21</v>
      </c>
      <c r="O4" s="225">
        <v>4000</v>
      </c>
      <c r="P4" s="287">
        <f t="shared" ref="P4:P15" si="0">N4-O4</f>
        <v>-1129.79</v>
      </c>
      <c r="Q4" s="395"/>
      <c r="R4" s="371"/>
      <c r="S4" s="371"/>
      <c r="T4" s="371"/>
      <c r="U4" s="371"/>
      <c r="V4" s="371"/>
      <c r="W4" s="371"/>
      <c r="X4" s="209"/>
      <c r="Y4" s="299"/>
    </row>
    <row r="5" spans="1:27" s="208" customFormat="1" x14ac:dyDescent="0.2">
      <c r="A5" s="221" t="s">
        <v>69</v>
      </c>
      <c r="B5" s="222"/>
      <c r="C5" s="222"/>
      <c r="D5" s="362"/>
      <c r="E5" s="223"/>
      <c r="F5" s="362"/>
      <c r="G5" s="223"/>
      <c r="H5" s="223"/>
      <c r="I5" s="222"/>
      <c r="J5" s="223"/>
      <c r="K5" s="222"/>
      <c r="L5" s="223"/>
      <c r="M5" s="222"/>
      <c r="N5" s="224">
        <f t="shared" ref="N5:N15" si="1">SUM(B5:M5)</f>
        <v>0</v>
      </c>
      <c r="O5" s="225">
        <v>2000</v>
      </c>
      <c r="P5" s="287">
        <f t="shared" si="0"/>
        <v>-2000</v>
      </c>
      <c r="Q5" s="395">
        <v>1686</v>
      </c>
      <c r="R5" s="372"/>
      <c r="S5" s="373"/>
      <c r="T5" s="374"/>
      <c r="U5" s="375"/>
      <c r="V5" s="376"/>
      <c r="W5" s="374"/>
      <c r="X5" s="209"/>
      <c r="Y5" s="299"/>
    </row>
    <row r="6" spans="1:27" s="208" customFormat="1" x14ac:dyDescent="0.2">
      <c r="A6" s="221" t="s">
        <v>70</v>
      </c>
      <c r="B6" s="223"/>
      <c r="C6" s="223"/>
      <c r="D6" s="363"/>
      <c r="E6" s="223"/>
      <c r="F6" s="363"/>
      <c r="G6" s="223"/>
      <c r="H6" s="223"/>
      <c r="I6" s="223"/>
      <c r="J6" s="223"/>
      <c r="K6" s="223"/>
      <c r="L6" s="223"/>
      <c r="M6" s="223"/>
      <c r="N6" s="224">
        <f t="shared" si="1"/>
        <v>0</v>
      </c>
      <c r="O6" s="225">
        <v>0</v>
      </c>
      <c r="P6" s="287">
        <f t="shared" si="0"/>
        <v>0</v>
      </c>
      <c r="Q6" s="395">
        <v>113</v>
      </c>
      <c r="R6" s="372"/>
      <c r="S6" s="373"/>
      <c r="T6" s="377"/>
      <c r="U6" s="375"/>
      <c r="V6" s="376"/>
      <c r="W6" s="374"/>
      <c r="X6" s="209"/>
      <c r="Y6" s="299"/>
    </row>
    <row r="7" spans="1:27" s="208" customFormat="1" x14ac:dyDescent="0.2">
      <c r="A7" s="221" t="s">
        <v>216</v>
      </c>
      <c r="B7" s="223"/>
      <c r="C7" s="223"/>
      <c r="D7" s="363"/>
      <c r="E7" s="223"/>
      <c r="F7" s="363"/>
      <c r="G7" s="223"/>
      <c r="H7" s="223"/>
      <c r="I7" s="223"/>
      <c r="J7" s="223"/>
      <c r="K7" s="223"/>
      <c r="L7" s="223"/>
      <c r="M7" s="223"/>
      <c r="N7" s="224">
        <f t="shared" si="1"/>
        <v>0</v>
      </c>
      <c r="O7" s="225">
        <v>2000</v>
      </c>
      <c r="P7" s="287">
        <f t="shared" si="0"/>
        <v>-2000</v>
      </c>
      <c r="Q7" s="395"/>
      <c r="R7" s="372"/>
      <c r="S7" s="373"/>
      <c r="T7" s="374"/>
      <c r="U7" s="375"/>
      <c r="V7" s="376"/>
      <c r="W7" s="374"/>
      <c r="X7" s="209"/>
      <c r="Y7" s="299"/>
    </row>
    <row r="8" spans="1:27" s="208" customFormat="1" x14ac:dyDescent="0.2">
      <c r="A8" s="221" t="s">
        <v>217</v>
      </c>
      <c r="B8" s="223"/>
      <c r="C8" s="223"/>
      <c r="D8" s="363"/>
      <c r="E8" s="223"/>
      <c r="F8" s="363"/>
      <c r="G8" s="223"/>
      <c r="H8" s="223"/>
      <c r="I8" s="223"/>
      <c r="J8" s="223"/>
      <c r="K8" s="223"/>
      <c r="L8" s="223"/>
      <c r="M8" s="223"/>
      <c r="N8" s="224">
        <f t="shared" si="1"/>
        <v>0</v>
      </c>
      <c r="O8" s="225">
        <v>1000</v>
      </c>
      <c r="P8" s="287">
        <f t="shared" si="0"/>
        <v>-1000</v>
      </c>
      <c r="Q8" s="395"/>
      <c r="R8" s="372"/>
      <c r="S8" s="373"/>
      <c r="T8" s="374"/>
      <c r="U8" s="375"/>
      <c r="V8" s="376"/>
      <c r="W8" s="374"/>
      <c r="X8" s="209"/>
      <c r="Y8" s="320"/>
      <c r="Z8" s="209"/>
      <c r="AA8" s="209"/>
    </row>
    <row r="9" spans="1:27" s="208" customFormat="1" x14ac:dyDescent="0.2">
      <c r="A9" s="221" t="s">
        <v>73</v>
      </c>
      <c r="B9" s="223"/>
      <c r="C9" s="223"/>
      <c r="D9" s="363"/>
      <c r="E9" s="231">
        <f>296.06+2106.5</f>
        <v>2402.56</v>
      </c>
      <c r="F9" s="363">
        <f>25993.51+25+100+100</f>
        <v>26218.51</v>
      </c>
      <c r="G9" s="223"/>
      <c r="H9" s="223"/>
      <c r="I9" s="223"/>
      <c r="J9" s="223"/>
      <c r="K9" s="223"/>
      <c r="L9" s="223"/>
      <c r="M9" s="223"/>
      <c r="N9" s="224">
        <f>SUM(B9:M9)</f>
        <v>28621.07</v>
      </c>
      <c r="O9" s="225">
        <v>25000</v>
      </c>
      <c r="P9" s="287">
        <f t="shared" si="0"/>
        <v>3621.0699999999997</v>
      </c>
      <c r="Q9" s="395">
        <v>28866</v>
      </c>
      <c r="R9" s="372"/>
      <c r="S9" s="373"/>
      <c r="T9" s="374"/>
      <c r="U9" s="375"/>
      <c r="V9" s="376"/>
      <c r="W9" s="374"/>
      <c r="X9" s="209"/>
      <c r="Y9" s="320"/>
      <c r="Z9" s="288"/>
      <c r="AA9" s="288"/>
    </row>
    <row r="10" spans="1:27" s="208" customFormat="1" x14ac:dyDescent="0.2">
      <c r="A10" s="221" t="s">
        <v>147</v>
      </c>
      <c r="B10" s="223"/>
      <c r="C10" s="223"/>
      <c r="D10" s="363"/>
      <c r="E10" s="223">
        <v>20</v>
      </c>
      <c r="F10" s="363">
        <f>710.01</f>
        <v>710.01</v>
      </c>
      <c r="G10" s="223"/>
      <c r="H10" s="223"/>
      <c r="I10" s="223"/>
      <c r="J10" s="223"/>
      <c r="K10" s="223"/>
      <c r="L10" s="223"/>
      <c r="M10" s="223"/>
      <c r="N10" s="224">
        <f>SUM(B10:M10)</f>
        <v>730.01</v>
      </c>
      <c r="O10" s="225">
        <v>2000</v>
      </c>
      <c r="P10" s="287">
        <f t="shared" si="0"/>
        <v>-1269.99</v>
      </c>
      <c r="Q10" s="395"/>
      <c r="R10" s="372"/>
      <c r="S10" s="373"/>
      <c r="T10" s="374"/>
      <c r="U10" s="375"/>
      <c r="V10" s="376"/>
      <c r="W10" s="374"/>
      <c r="X10" s="209"/>
      <c r="Y10" s="320"/>
      <c r="Z10" s="288"/>
      <c r="AA10" s="288"/>
    </row>
    <row r="11" spans="1:27" s="208" customFormat="1" x14ac:dyDescent="0.2">
      <c r="A11" s="221" t="s">
        <v>75</v>
      </c>
      <c r="B11" s="223"/>
      <c r="C11" s="223"/>
      <c r="D11" s="364"/>
      <c r="E11" s="223"/>
      <c r="F11" s="363"/>
      <c r="G11" s="223"/>
      <c r="H11" s="223"/>
      <c r="I11" s="223"/>
      <c r="J11" s="223"/>
      <c r="K11" s="223"/>
      <c r="L11" s="223"/>
      <c r="M11" s="223"/>
      <c r="N11" s="224">
        <f t="shared" si="1"/>
        <v>0</v>
      </c>
      <c r="O11" s="225">
        <v>500</v>
      </c>
      <c r="P11" s="287">
        <f t="shared" si="0"/>
        <v>-500</v>
      </c>
      <c r="Q11" s="395">
        <v>233</v>
      </c>
      <c r="R11" s="372"/>
      <c r="S11" s="373"/>
      <c r="T11" s="374"/>
      <c r="U11" s="375"/>
      <c r="V11" s="376"/>
      <c r="W11" s="374"/>
      <c r="X11" s="209"/>
      <c r="Y11" s="320"/>
      <c r="Z11" s="288"/>
      <c r="AA11" s="288"/>
    </row>
    <row r="12" spans="1:27" s="208" customFormat="1" x14ac:dyDescent="0.2">
      <c r="A12" s="235" t="s">
        <v>76</v>
      </c>
      <c r="B12" s="223"/>
      <c r="C12" s="223"/>
      <c r="D12" s="363">
        <f>148.45+109.81</f>
        <v>258.26</v>
      </c>
      <c r="E12" s="223"/>
      <c r="F12" s="363">
        <f>108+120.71</f>
        <v>228.70999999999998</v>
      </c>
      <c r="G12" s="223"/>
      <c r="H12" s="223"/>
      <c r="I12" s="223"/>
      <c r="J12" s="223"/>
      <c r="K12" s="223"/>
      <c r="L12" s="223"/>
      <c r="M12" s="223"/>
      <c r="N12" s="224">
        <f t="shared" si="1"/>
        <v>486.96999999999997</v>
      </c>
      <c r="O12" s="225">
        <v>800</v>
      </c>
      <c r="P12" s="287">
        <f t="shared" si="0"/>
        <v>-313.03000000000003</v>
      </c>
      <c r="Q12" s="395"/>
      <c r="R12" s="372"/>
      <c r="S12" s="373"/>
      <c r="T12" s="374"/>
      <c r="U12" s="375"/>
      <c r="V12" s="378"/>
      <c r="W12" s="377"/>
      <c r="X12" s="209"/>
      <c r="Y12" s="320"/>
      <c r="Z12" s="209"/>
      <c r="AA12" s="209"/>
    </row>
    <row r="13" spans="1:27" s="208" customFormat="1" x14ac:dyDescent="0.2">
      <c r="A13" s="221" t="s">
        <v>169</v>
      </c>
      <c r="B13" s="223"/>
      <c r="C13" s="223"/>
      <c r="D13" s="363">
        <v>7369.83</v>
      </c>
      <c r="E13" s="223"/>
      <c r="F13" s="363"/>
      <c r="G13" s="223"/>
      <c r="H13" s="223"/>
      <c r="I13" s="223"/>
      <c r="J13" s="223"/>
      <c r="K13" s="223"/>
      <c r="L13" s="223"/>
      <c r="M13" s="223"/>
      <c r="N13" s="224">
        <f t="shared" si="1"/>
        <v>7369.83</v>
      </c>
      <c r="O13" s="225">
        <v>7000</v>
      </c>
      <c r="P13" s="287">
        <f t="shared" si="0"/>
        <v>369.82999999999993</v>
      </c>
      <c r="Q13" s="395"/>
      <c r="R13" s="372"/>
      <c r="S13" s="373"/>
      <c r="T13" s="374"/>
      <c r="U13" s="375"/>
      <c r="V13" s="376"/>
      <c r="W13" s="374"/>
      <c r="X13" s="209"/>
      <c r="Y13" s="299"/>
    </row>
    <row r="14" spans="1:27" s="208" customFormat="1" x14ac:dyDescent="0.2">
      <c r="A14" s="221" t="s">
        <v>79</v>
      </c>
      <c r="B14" s="223"/>
      <c r="C14" s="223"/>
      <c r="D14" s="363"/>
      <c r="E14" s="223"/>
      <c r="F14" s="363"/>
      <c r="G14" s="223"/>
      <c r="H14" s="223"/>
      <c r="I14" s="223"/>
      <c r="J14" s="223"/>
      <c r="K14" s="223"/>
      <c r="L14" s="223"/>
      <c r="M14" s="223"/>
      <c r="N14" s="224">
        <f t="shared" si="1"/>
        <v>0</v>
      </c>
      <c r="O14" s="225">
        <v>500</v>
      </c>
      <c r="P14" s="287">
        <f t="shared" si="0"/>
        <v>-500</v>
      </c>
      <c r="Q14" s="395"/>
      <c r="R14" s="372"/>
      <c r="S14" s="373"/>
      <c r="T14" s="374"/>
      <c r="U14" s="375"/>
      <c r="V14" s="376"/>
      <c r="W14" s="374"/>
      <c r="X14" s="209"/>
      <c r="Y14" s="299"/>
    </row>
    <row r="15" spans="1:27" s="208" customFormat="1" x14ac:dyDescent="0.2">
      <c r="A15" s="221" t="s">
        <v>148</v>
      </c>
      <c r="B15" s="223"/>
      <c r="C15" s="223"/>
      <c r="D15" s="363"/>
      <c r="E15" s="223"/>
      <c r="F15" s="363"/>
      <c r="G15" s="223"/>
      <c r="H15" s="223"/>
      <c r="I15" s="223"/>
      <c r="J15" s="223"/>
      <c r="K15" s="223"/>
      <c r="L15" s="223"/>
      <c r="M15" s="223"/>
      <c r="N15" s="224">
        <f t="shared" si="1"/>
        <v>0</v>
      </c>
      <c r="O15" s="225">
        <v>1000</v>
      </c>
      <c r="P15" s="287">
        <f t="shared" si="0"/>
        <v>-1000</v>
      </c>
      <c r="Q15" s="395"/>
      <c r="R15" s="236"/>
      <c r="S15" s="234"/>
      <c r="T15" s="379"/>
      <c r="U15" s="380"/>
      <c r="V15" s="381"/>
      <c r="W15" s="379"/>
      <c r="X15" s="209"/>
      <c r="Y15" s="299"/>
    </row>
    <row r="16" spans="1:27" x14ac:dyDescent="0.2">
      <c r="A16" s="221"/>
      <c r="B16" s="223"/>
      <c r="C16" s="223"/>
      <c r="D16" s="363"/>
      <c r="E16" s="223"/>
      <c r="F16" s="363"/>
      <c r="G16" s="223"/>
      <c r="H16" s="223"/>
      <c r="I16" s="223"/>
      <c r="J16" s="223"/>
      <c r="K16" s="223"/>
      <c r="L16" s="223"/>
      <c r="M16" s="223"/>
      <c r="N16" s="224"/>
      <c r="O16" s="225"/>
      <c r="P16" s="226"/>
      <c r="Q16" s="395"/>
      <c r="R16" s="372"/>
      <c r="S16" s="373"/>
      <c r="T16" s="374"/>
      <c r="U16" s="375"/>
      <c r="V16" s="378"/>
      <c r="W16" s="374"/>
      <c r="X16" s="192"/>
      <c r="Y16" s="299"/>
    </row>
    <row r="17" spans="1:27" x14ac:dyDescent="0.2">
      <c r="A17" s="239" t="s">
        <v>7</v>
      </c>
      <c r="B17" s="256">
        <f t="shared" ref="B17:P17" si="2">SUM(B3:B16)</f>
        <v>0</v>
      </c>
      <c r="C17" s="256">
        <f t="shared" si="2"/>
        <v>0</v>
      </c>
      <c r="D17" s="365">
        <f>SUM(D3:D16)</f>
        <v>7628.09</v>
      </c>
      <c r="E17" s="256">
        <f t="shared" si="2"/>
        <v>5292.77</v>
      </c>
      <c r="F17" s="365">
        <f t="shared" si="2"/>
        <v>27157.229999999996</v>
      </c>
      <c r="G17" s="256">
        <f t="shared" si="2"/>
        <v>0</v>
      </c>
      <c r="H17" s="256">
        <f t="shared" si="2"/>
        <v>0</v>
      </c>
      <c r="I17" s="256">
        <f t="shared" si="2"/>
        <v>0</v>
      </c>
      <c r="J17" s="256">
        <f t="shared" si="2"/>
        <v>0</v>
      </c>
      <c r="K17" s="256">
        <f t="shared" si="2"/>
        <v>0</v>
      </c>
      <c r="L17" s="256">
        <f t="shared" si="2"/>
        <v>0</v>
      </c>
      <c r="M17" s="256">
        <f t="shared" si="2"/>
        <v>0</v>
      </c>
      <c r="N17" s="261">
        <f t="shared" si="2"/>
        <v>40078.089999999997</v>
      </c>
      <c r="O17" s="262">
        <f t="shared" si="2"/>
        <v>45800</v>
      </c>
      <c r="P17" s="284">
        <f t="shared" si="2"/>
        <v>-5721.91</v>
      </c>
      <c r="Q17" s="395"/>
      <c r="R17" s="372"/>
      <c r="S17" s="373"/>
      <c r="T17" s="374"/>
      <c r="U17" s="375"/>
      <c r="V17" s="376"/>
      <c r="W17" s="374"/>
      <c r="X17" s="192"/>
      <c r="Y17" s="299"/>
    </row>
    <row r="18" spans="1:27" x14ac:dyDescent="0.2">
      <c r="A18" s="243" t="s">
        <v>11</v>
      </c>
      <c r="B18" s="244"/>
      <c r="C18" s="244"/>
      <c r="D18" s="364"/>
      <c r="E18" s="244"/>
      <c r="F18" s="364"/>
      <c r="G18" s="244"/>
      <c r="H18" s="244"/>
      <c r="I18" s="244"/>
      <c r="J18" s="244"/>
      <c r="K18" s="244"/>
      <c r="L18" s="244"/>
      <c r="M18" s="244"/>
      <c r="N18" s="265"/>
      <c r="O18" s="266"/>
      <c r="P18" s="267"/>
      <c r="Q18" s="395"/>
      <c r="R18" s="372"/>
      <c r="S18" s="373"/>
      <c r="T18" s="374"/>
      <c r="U18" s="375"/>
      <c r="V18" s="378"/>
      <c r="W18" s="374"/>
      <c r="X18" s="192"/>
      <c r="Y18" s="299"/>
    </row>
    <row r="19" spans="1:27" x14ac:dyDescent="0.2">
      <c r="A19" s="221" t="s">
        <v>81</v>
      </c>
      <c r="B19" s="223"/>
      <c r="C19" s="223"/>
      <c r="D19" s="363"/>
      <c r="E19" s="223"/>
      <c r="F19" s="363"/>
      <c r="G19" s="223"/>
      <c r="H19" s="223"/>
      <c r="I19" s="223"/>
      <c r="J19" s="223"/>
      <c r="K19" s="223"/>
      <c r="L19" s="223"/>
      <c r="M19" s="223"/>
      <c r="N19" s="224">
        <f t="shared" ref="N19:N45" si="3">SUM(B19:M19)</f>
        <v>0</v>
      </c>
      <c r="O19" s="225">
        <v>1500</v>
      </c>
      <c r="P19" s="226">
        <f>O19-N19</f>
        <v>1500</v>
      </c>
      <c r="Q19" s="395"/>
      <c r="R19" s="372"/>
      <c r="S19" s="320"/>
      <c r="T19" s="374"/>
      <c r="U19" s="375"/>
      <c r="V19" s="378"/>
      <c r="W19" s="374"/>
      <c r="X19" s="192"/>
      <c r="Y19" s="299"/>
    </row>
    <row r="20" spans="1:27" x14ac:dyDescent="0.2">
      <c r="A20" s="221" t="s">
        <v>82</v>
      </c>
      <c r="B20" s="223"/>
      <c r="C20" s="223"/>
      <c r="D20" s="363"/>
      <c r="E20" s="223"/>
      <c r="F20" s="363">
        <f>150</f>
        <v>150</v>
      </c>
      <c r="G20" s="223"/>
      <c r="H20" s="223"/>
      <c r="I20" s="223"/>
      <c r="J20" s="223"/>
      <c r="K20" s="223"/>
      <c r="L20" s="245"/>
      <c r="M20" s="245"/>
      <c r="N20" s="224">
        <f t="shared" si="3"/>
        <v>150</v>
      </c>
      <c r="O20" s="225">
        <v>1500</v>
      </c>
      <c r="P20" s="226">
        <f t="shared" ref="P20:P36" si="4">O20-N20</f>
        <v>1350</v>
      </c>
      <c r="Q20" s="395"/>
      <c r="R20" s="372"/>
      <c r="S20" s="320"/>
      <c r="T20" s="374"/>
      <c r="U20" s="375"/>
      <c r="V20" s="376"/>
      <c r="W20" s="374"/>
      <c r="X20" s="192"/>
      <c r="Y20" s="299"/>
    </row>
    <row r="21" spans="1:27" x14ac:dyDescent="0.2">
      <c r="A21" s="221" t="s">
        <v>83</v>
      </c>
      <c r="B21" s="223"/>
      <c r="C21" s="223"/>
      <c r="D21" s="363"/>
      <c r="E21" s="223"/>
      <c r="F21" s="363"/>
      <c r="G21" s="223"/>
      <c r="H21" s="223"/>
      <c r="I21" s="223"/>
      <c r="J21" s="223"/>
      <c r="K21" s="223"/>
      <c r="L21" s="223"/>
      <c r="M21" s="223"/>
      <c r="N21" s="224">
        <f t="shared" si="3"/>
        <v>0</v>
      </c>
      <c r="O21" s="225">
        <v>2000</v>
      </c>
      <c r="P21" s="226">
        <f t="shared" si="4"/>
        <v>2000</v>
      </c>
      <c r="Q21" s="396"/>
      <c r="R21" s="382"/>
      <c r="S21" s="373"/>
      <c r="T21" s="383"/>
      <c r="U21" s="384"/>
      <c r="V21" s="384"/>
      <c r="W21" s="385"/>
      <c r="X21" s="386"/>
      <c r="Y21" s="299"/>
    </row>
    <row r="22" spans="1:27" x14ac:dyDescent="0.2">
      <c r="A22" s="221" t="s">
        <v>84</v>
      </c>
      <c r="B22" s="223"/>
      <c r="C22" s="223"/>
      <c r="D22" s="363">
        <v>65</v>
      </c>
      <c r="E22" s="223"/>
      <c r="F22" s="363"/>
      <c r="G22" s="223"/>
      <c r="H22" s="223"/>
      <c r="I22" s="223"/>
      <c r="J22" s="223"/>
      <c r="K22" s="223"/>
      <c r="L22" s="223"/>
      <c r="M22" s="223"/>
      <c r="N22" s="224">
        <f t="shared" si="3"/>
        <v>65</v>
      </c>
      <c r="O22" s="225">
        <v>1500</v>
      </c>
      <c r="P22" s="226">
        <f t="shared" si="4"/>
        <v>1435</v>
      </c>
      <c r="Q22" s="396"/>
      <c r="R22" s="406"/>
      <c r="S22" s="406"/>
      <c r="T22" s="228"/>
      <c r="U22" s="387"/>
      <c r="V22" s="192"/>
      <c r="W22" s="388"/>
      <c r="X22" s="192"/>
      <c r="Y22" s="299"/>
    </row>
    <row r="23" spans="1:27" x14ac:dyDescent="0.2">
      <c r="A23" s="221" t="s">
        <v>273</v>
      </c>
      <c r="B23" s="223"/>
      <c r="C23" s="223"/>
      <c r="D23" s="363"/>
      <c r="E23" s="223"/>
      <c r="F23" s="363"/>
      <c r="G23" s="223"/>
      <c r="H23" s="223"/>
      <c r="I23" s="223"/>
      <c r="J23" s="223"/>
      <c r="K23" s="223"/>
      <c r="L23" s="223"/>
      <c r="M23" s="223"/>
      <c r="N23" s="224">
        <f t="shared" si="3"/>
        <v>0</v>
      </c>
      <c r="O23" s="225">
        <v>100</v>
      </c>
      <c r="P23" s="226">
        <f t="shared" si="4"/>
        <v>100</v>
      </c>
      <c r="Q23" s="396"/>
      <c r="R23" s="370"/>
      <c r="S23" s="370"/>
      <c r="T23" s="228"/>
      <c r="U23" s="387"/>
      <c r="V23" s="192"/>
      <c r="W23" s="388"/>
      <c r="X23" s="192"/>
      <c r="Y23" s="299"/>
    </row>
    <row r="24" spans="1:27" x14ac:dyDescent="0.2">
      <c r="A24" s="221" t="s">
        <v>127</v>
      </c>
      <c r="B24" s="223"/>
      <c r="C24" s="223"/>
      <c r="D24" s="363"/>
      <c r="E24" s="223"/>
      <c r="F24" s="363">
        <v>1252.3800000000001</v>
      </c>
      <c r="G24" s="223"/>
      <c r="H24" s="223"/>
      <c r="I24" s="223"/>
      <c r="J24" s="223"/>
      <c r="K24" s="223"/>
      <c r="L24" s="223"/>
      <c r="M24" s="223"/>
      <c r="N24" s="224">
        <f t="shared" si="3"/>
        <v>1252.3800000000001</v>
      </c>
      <c r="O24" s="225">
        <v>4000</v>
      </c>
      <c r="P24" s="226">
        <f t="shared" si="4"/>
        <v>2747.62</v>
      </c>
      <c r="Q24" s="396"/>
      <c r="R24" s="229"/>
      <c r="X24" s="200"/>
      <c r="Y24" s="299"/>
    </row>
    <row r="25" spans="1:27" x14ac:dyDescent="0.2">
      <c r="A25" s="221" t="s">
        <v>272</v>
      </c>
      <c r="B25" s="223"/>
      <c r="C25" s="223"/>
      <c r="D25" s="363"/>
      <c r="E25" s="223"/>
      <c r="F25" s="363"/>
      <c r="G25" s="223"/>
      <c r="H25" s="223"/>
      <c r="I25" s="223"/>
      <c r="J25" s="223"/>
      <c r="K25" s="223"/>
      <c r="L25" s="223"/>
      <c r="M25" s="223"/>
      <c r="N25" s="224">
        <f t="shared" si="3"/>
        <v>0</v>
      </c>
      <c r="O25" s="225">
        <v>890</v>
      </c>
      <c r="P25" s="226">
        <f t="shared" si="4"/>
        <v>890</v>
      </c>
      <c r="Q25" s="396"/>
      <c r="R25" s="229"/>
      <c r="X25" s="200"/>
      <c r="Y25" s="299"/>
    </row>
    <row r="26" spans="1:27" ht="13.5" thickBot="1" x14ac:dyDescent="0.25">
      <c r="A26" s="221" t="s">
        <v>85</v>
      </c>
      <c r="B26" s="223"/>
      <c r="C26" s="223"/>
      <c r="D26" s="363"/>
      <c r="E26" s="223"/>
      <c r="F26" s="363"/>
      <c r="G26" s="223"/>
      <c r="H26" s="223"/>
      <c r="I26" s="223"/>
      <c r="J26" s="223"/>
      <c r="K26" s="223"/>
      <c r="L26" s="223"/>
      <c r="M26" s="223"/>
      <c r="N26" s="224">
        <f t="shared" si="3"/>
        <v>0</v>
      </c>
      <c r="O26" s="225">
        <v>500</v>
      </c>
      <c r="P26" s="226">
        <f t="shared" si="4"/>
        <v>500</v>
      </c>
      <c r="Q26" s="396"/>
      <c r="S26" s="394">
        <v>44868</v>
      </c>
      <c r="Y26" s="299"/>
    </row>
    <row r="27" spans="1:27" ht="13.5" thickBot="1" x14ac:dyDescent="0.25">
      <c r="A27" s="221" t="s">
        <v>131</v>
      </c>
      <c r="B27" s="223"/>
      <c r="C27" s="223"/>
      <c r="D27" s="363"/>
      <c r="E27" s="223"/>
      <c r="F27" s="363"/>
      <c r="G27" s="223"/>
      <c r="H27" s="223"/>
      <c r="I27" s="223"/>
      <c r="J27" s="223"/>
      <c r="K27" s="223"/>
      <c r="L27" s="223"/>
      <c r="M27" s="223"/>
      <c r="N27" s="224">
        <f t="shared" si="3"/>
        <v>0</v>
      </c>
      <c r="O27" s="225">
        <v>230</v>
      </c>
      <c r="P27" s="226">
        <f>O27-N27</f>
        <v>230</v>
      </c>
      <c r="Q27" s="396"/>
      <c r="S27" s="402" t="s">
        <v>4</v>
      </c>
      <c r="T27" s="403"/>
      <c r="U27" s="404"/>
      <c r="V27" s="299"/>
      <c r="W27" s="299"/>
      <c r="Y27" s="299"/>
    </row>
    <row r="28" spans="1:27" x14ac:dyDescent="0.2">
      <c r="A28" s="221" t="s">
        <v>86</v>
      </c>
      <c r="B28" s="223"/>
      <c r="C28" s="223"/>
      <c r="D28" s="362"/>
      <c r="E28" s="223"/>
      <c r="F28" s="363"/>
      <c r="G28" s="223"/>
      <c r="H28" s="223"/>
      <c r="I28" s="223"/>
      <c r="J28" s="223"/>
      <c r="K28" s="223"/>
      <c r="L28" s="223"/>
      <c r="M28" s="223"/>
      <c r="N28" s="224">
        <f t="shared" si="3"/>
        <v>0</v>
      </c>
      <c r="O28" s="225">
        <v>100</v>
      </c>
      <c r="P28" s="226">
        <f t="shared" si="4"/>
        <v>100</v>
      </c>
      <c r="Q28" s="396"/>
      <c r="R28" s="232"/>
      <c r="S28" s="230" t="s">
        <v>136</v>
      </c>
      <c r="T28" s="293"/>
      <c r="U28" s="294">
        <v>13226</v>
      </c>
      <c r="V28" s="295">
        <f>SUM(U28:U29)</f>
        <v>39219</v>
      </c>
      <c r="W28" s="296" t="s">
        <v>262</v>
      </c>
      <c r="Y28" s="299"/>
    </row>
    <row r="29" spans="1:27" x14ac:dyDescent="0.2">
      <c r="A29" s="221" t="s">
        <v>87</v>
      </c>
      <c r="B29" s="223"/>
      <c r="C29" s="223"/>
      <c r="D29" s="362"/>
      <c r="E29" s="223"/>
      <c r="F29" s="363">
        <f>139.02+45.97+50+49.09+38.05</f>
        <v>322.13000000000005</v>
      </c>
      <c r="G29" s="223"/>
      <c r="H29" s="223"/>
      <c r="I29" s="223"/>
      <c r="J29" s="223"/>
      <c r="K29" s="223"/>
      <c r="L29" s="223"/>
      <c r="M29" s="223"/>
      <c r="N29" s="224">
        <f t="shared" si="3"/>
        <v>322.13000000000005</v>
      </c>
      <c r="O29" s="225">
        <v>2700</v>
      </c>
      <c r="P29" s="226">
        <f t="shared" si="4"/>
        <v>2377.87</v>
      </c>
      <c r="Q29" s="396"/>
      <c r="R29" s="233"/>
      <c r="S29" s="230" t="s">
        <v>140</v>
      </c>
      <c r="T29" s="293"/>
      <c r="U29" s="294">
        <v>25993</v>
      </c>
      <c r="V29" s="297"/>
      <c r="W29" s="298"/>
      <c r="Y29" s="299"/>
    </row>
    <row r="30" spans="1:27" x14ac:dyDescent="0.2">
      <c r="A30" s="221" t="s">
        <v>88</v>
      </c>
      <c r="B30" s="223"/>
      <c r="C30" s="223"/>
      <c r="D30" s="363">
        <v>250</v>
      </c>
      <c r="E30" s="223"/>
      <c r="F30" s="363"/>
      <c r="G30" s="223"/>
      <c r="H30" s="223"/>
      <c r="I30" s="223"/>
      <c r="J30" s="223"/>
      <c r="K30" s="223"/>
      <c r="L30" s="223"/>
      <c r="M30" s="223"/>
      <c r="N30" s="224">
        <f t="shared" si="3"/>
        <v>250</v>
      </c>
      <c r="O30" s="225">
        <v>250</v>
      </c>
      <c r="P30" s="226">
        <f t="shared" si="4"/>
        <v>0</v>
      </c>
      <c r="Q30" s="396"/>
      <c r="R30" s="233"/>
      <c r="S30" s="230" t="s">
        <v>135</v>
      </c>
      <c r="T30" s="293"/>
      <c r="U30" s="294">
        <v>12944</v>
      </c>
      <c r="V30" s="295">
        <f>SUM(U30:U32)</f>
        <v>23551.58</v>
      </c>
      <c r="W30" s="296" t="s">
        <v>263</v>
      </c>
      <c r="Y30" s="299"/>
      <c r="Z30" s="201"/>
      <c r="AA30" s="201"/>
    </row>
    <row r="31" spans="1:27" x14ac:dyDescent="0.2">
      <c r="A31" s="221" t="s">
        <v>218</v>
      </c>
      <c r="B31" s="223"/>
      <c r="C31" s="223"/>
      <c r="D31" s="362"/>
      <c r="E31" s="223"/>
      <c r="F31" s="363"/>
      <c r="G31" s="223"/>
      <c r="H31" s="223"/>
      <c r="I31" s="223"/>
      <c r="J31" s="223"/>
      <c r="K31" s="223"/>
      <c r="L31" s="223"/>
      <c r="M31" s="223"/>
      <c r="N31" s="224">
        <f t="shared" si="3"/>
        <v>0</v>
      </c>
      <c r="O31" s="225">
        <v>1000</v>
      </c>
      <c r="P31" s="226">
        <f t="shared" si="4"/>
        <v>1000</v>
      </c>
      <c r="Q31" s="396"/>
      <c r="R31" s="233"/>
      <c r="S31" s="407" t="s">
        <v>33</v>
      </c>
      <c r="T31" s="408"/>
      <c r="U31" s="294">
        <v>5283</v>
      </c>
      <c r="V31" s="295"/>
      <c r="W31" s="299"/>
      <c r="X31" s="232"/>
      <c r="Y31" s="322"/>
      <c r="Z31" s="192"/>
      <c r="AA31" s="192"/>
    </row>
    <row r="32" spans="1:27" s="204" customFormat="1" ht="13.5" thickBot="1" x14ac:dyDescent="0.25">
      <c r="A32" s="246" t="s">
        <v>151</v>
      </c>
      <c r="B32" s="223"/>
      <c r="C32" s="223"/>
      <c r="D32" s="363"/>
      <c r="E32" s="223"/>
      <c r="F32" s="363"/>
      <c r="G32" s="223"/>
      <c r="H32" s="223"/>
      <c r="I32" s="223"/>
      <c r="J32" s="223"/>
      <c r="K32" s="223"/>
      <c r="L32" s="223"/>
      <c r="M32" s="223"/>
      <c r="N32" s="224">
        <f t="shared" si="3"/>
        <v>0</v>
      </c>
      <c r="O32" s="225">
        <v>750</v>
      </c>
      <c r="P32" s="226">
        <f t="shared" si="4"/>
        <v>750</v>
      </c>
      <c r="Q32" s="396"/>
      <c r="R32" s="233"/>
      <c r="S32" s="292" t="s">
        <v>34</v>
      </c>
      <c r="T32" s="300"/>
      <c r="U32" s="294">
        <v>5324.58</v>
      </c>
      <c r="V32" s="297"/>
      <c r="W32" s="298"/>
      <c r="X32" s="192"/>
      <c r="Y32" s="320"/>
      <c r="Z32" s="192"/>
      <c r="AA32" s="192"/>
    </row>
    <row r="33" spans="1:27" ht="13.5" thickBot="1" x14ac:dyDescent="0.25">
      <c r="A33" s="246" t="s">
        <v>90</v>
      </c>
      <c r="B33" s="223"/>
      <c r="C33" s="223"/>
      <c r="D33" s="363"/>
      <c r="E33" s="223"/>
      <c r="F33" s="363"/>
      <c r="G33" s="223"/>
      <c r="H33" s="223"/>
      <c r="I33" s="223"/>
      <c r="J33" s="223"/>
      <c r="K33" s="223"/>
      <c r="L33" s="223"/>
      <c r="M33" s="223"/>
      <c r="N33" s="224">
        <f t="shared" si="3"/>
        <v>0</v>
      </c>
      <c r="O33" s="225">
        <v>50</v>
      </c>
      <c r="P33" s="226">
        <f t="shared" si="4"/>
        <v>50</v>
      </c>
      <c r="Q33" s="396"/>
      <c r="R33" s="233"/>
      <c r="S33" s="237"/>
      <c r="T33" s="238"/>
      <c r="U33" s="227">
        <f>SUM(U28:U32)</f>
        <v>62770.58</v>
      </c>
      <c r="V33" s="297"/>
      <c r="W33" s="298"/>
      <c r="X33" s="192"/>
      <c r="Y33" s="320"/>
      <c r="Z33" s="192"/>
      <c r="AA33" s="192"/>
    </row>
    <row r="34" spans="1:27" x14ac:dyDescent="0.2">
      <c r="A34" s="247" t="s">
        <v>91</v>
      </c>
      <c r="B34" s="228"/>
      <c r="C34" s="228"/>
      <c r="D34" s="361"/>
      <c r="E34" s="228">
        <f>21.17+20.17</f>
        <v>41.34</v>
      </c>
      <c r="F34" s="361">
        <v>149</v>
      </c>
      <c r="G34" s="228"/>
      <c r="H34" s="228"/>
      <c r="I34" s="228"/>
      <c r="J34" s="228"/>
      <c r="K34" s="228"/>
      <c r="L34" s="228"/>
      <c r="M34" s="228"/>
      <c r="N34" s="248">
        <f t="shared" si="3"/>
        <v>190.34</v>
      </c>
      <c r="O34" s="249">
        <v>600</v>
      </c>
      <c r="P34" s="226">
        <f t="shared" si="4"/>
        <v>409.65999999999997</v>
      </c>
      <c r="Q34" s="396"/>
      <c r="R34" s="236"/>
      <c r="S34" s="286"/>
      <c r="T34" s="341"/>
      <c r="U34" s="342"/>
      <c r="V34" s="343"/>
      <c r="W34" s="344"/>
      <c r="X34" s="192"/>
      <c r="Y34" s="320"/>
      <c r="Z34" s="192"/>
      <c r="AA34" s="192"/>
    </row>
    <row r="35" spans="1:27" x14ac:dyDescent="0.2">
      <c r="A35" s="247" t="s">
        <v>92</v>
      </c>
      <c r="B35" s="228"/>
      <c r="C35" s="228"/>
      <c r="D35" s="361">
        <v>101.92</v>
      </c>
      <c r="E35" s="228"/>
      <c r="F35" s="361"/>
      <c r="G35" s="228"/>
      <c r="H35" s="228"/>
      <c r="I35" s="228"/>
      <c r="J35" s="228"/>
      <c r="K35" s="228"/>
      <c r="L35" s="228"/>
      <c r="M35" s="228"/>
      <c r="N35" s="248">
        <f t="shared" si="3"/>
        <v>101.92</v>
      </c>
      <c r="O35" s="249">
        <v>100</v>
      </c>
      <c r="P35" s="226">
        <f t="shared" si="4"/>
        <v>-1.9200000000000017</v>
      </c>
      <c r="Q35" s="396"/>
      <c r="R35" s="236"/>
      <c r="S35" s="286"/>
      <c r="T35" s="341"/>
      <c r="U35" s="342"/>
      <c r="V35" s="234"/>
      <c r="W35" s="344"/>
      <c r="X35" s="192"/>
      <c r="Y35" s="320"/>
      <c r="Z35" s="192"/>
      <c r="AA35" s="192"/>
    </row>
    <row r="36" spans="1:27" x14ac:dyDescent="0.2">
      <c r="A36" s="250" t="s">
        <v>138</v>
      </c>
      <c r="B36" s="251"/>
      <c r="C36" s="251"/>
      <c r="D36" s="366"/>
      <c r="E36" s="251"/>
      <c r="F36" s="366"/>
      <c r="G36" s="251"/>
      <c r="H36" s="251"/>
      <c r="I36" s="251"/>
      <c r="J36" s="251"/>
      <c r="K36" s="251"/>
      <c r="L36" s="251"/>
      <c r="M36" s="251"/>
      <c r="N36" s="252">
        <f t="shared" si="3"/>
        <v>0</v>
      </c>
      <c r="O36" s="253">
        <v>200</v>
      </c>
      <c r="P36" s="254">
        <f t="shared" si="4"/>
        <v>200</v>
      </c>
      <c r="Q36" s="396"/>
      <c r="R36" s="236"/>
      <c r="S36" s="208"/>
      <c r="T36" s="281"/>
      <c r="U36" s="208"/>
      <c r="V36" s="234"/>
      <c r="W36" s="345"/>
      <c r="X36" s="192"/>
      <c r="Y36" s="320"/>
      <c r="Z36" s="192"/>
      <c r="AA36" s="192"/>
    </row>
    <row r="37" spans="1:27" x14ac:dyDescent="0.2">
      <c r="A37" s="304" t="s">
        <v>93</v>
      </c>
      <c r="B37" s="223"/>
      <c r="C37" s="223"/>
      <c r="D37" s="363"/>
      <c r="E37" s="223"/>
      <c r="F37" s="363"/>
      <c r="G37" s="223"/>
      <c r="H37" s="223"/>
      <c r="I37" s="223"/>
      <c r="J37" s="223"/>
      <c r="K37" s="223"/>
      <c r="L37" s="223"/>
      <c r="M37" s="223"/>
      <c r="N37" s="224">
        <f t="shared" si="3"/>
        <v>0</v>
      </c>
      <c r="O37" s="225"/>
      <c r="P37" s="226">
        <f>O37-N37</f>
        <v>0</v>
      </c>
      <c r="Q37" s="396"/>
      <c r="R37" s="205"/>
      <c r="S37" s="208"/>
      <c r="T37" s="281"/>
      <c r="U37" s="208"/>
      <c r="V37" s="202"/>
      <c r="W37" s="346"/>
      <c r="X37" s="192"/>
      <c r="Y37" s="320"/>
      <c r="Z37" s="192"/>
      <c r="AA37" s="192"/>
    </row>
    <row r="38" spans="1:27" s="208" customFormat="1" x14ac:dyDescent="0.2">
      <c r="A38" s="302" t="s">
        <v>99</v>
      </c>
      <c r="B38" s="223"/>
      <c r="C38" s="223"/>
      <c r="D38" s="363"/>
      <c r="E38" s="223">
        <v>120</v>
      </c>
      <c r="F38" s="363"/>
      <c r="G38" s="223"/>
      <c r="H38" s="223"/>
      <c r="I38" s="223"/>
      <c r="J38" s="223"/>
      <c r="K38" s="223"/>
      <c r="L38" s="223"/>
      <c r="M38" s="223"/>
      <c r="N38" s="224">
        <f t="shared" si="3"/>
        <v>120</v>
      </c>
      <c r="O38" s="225">
        <v>1875</v>
      </c>
      <c r="P38" s="226">
        <f>O38-N38</f>
        <v>1755</v>
      </c>
      <c r="Q38" s="396"/>
      <c r="R38" s="205"/>
      <c r="S38" s="206"/>
      <c r="T38" s="203"/>
      <c r="U38" s="205"/>
      <c r="V38" s="202"/>
      <c r="W38" s="203"/>
      <c r="X38" s="192"/>
      <c r="Y38" s="320"/>
      <c r="Z38" s="192"/>
      <c r="AA38" s="192"/>
    </row>
    <row r="39" spans="1:27" s="208" customFormat="1" x14ac:dyDescent="0.2">
      <c r="A39" s="302" t="s">
        <v>94</v>
      </c>
      <c r="B39" s="223"/>
      <c r="C39" s="223"/>
      <c r="D39" s="363"/>
      <c r="E39" s="223"/>
      <c r="F39" s="363"/>
      <c r="G39" s="223"/>
      <c r="H39" s="223"/>
      <c r="I39" s="223"/>
      <c r="J39" s="223"/>
      <c r="K39" s="223"/>
      <c r="L39" s="223"/>
      <c r="M39" s="223"/>
      <c r="N39" s="224">
        <f t="shared" si="3"/>
        <v>0</v>
      </c>
      <c r="O39" s="225">
        <v>1875</v>
      </c>
      <c r="P39" s="226">
        <f>O39-N39</f>
        <v>1875</v>
      </c>
      <c r="Q39" s="396"/>
      <c r="R39" s="205"/>
      <c r="S39" s="207"/>
      <c r="T39" s="203"/>
      <c r="U39" s="205"/>
      <c r="V39" s="202"/>
      <c r="W39" s="203"/>
      <c r="X39" s="192"/>
      <c r="Y39" s="320"/>
      <c r="Z39" s="209"/>
      <c r="AA39" s="209"/>
    </row>
    <row r="40" spans="1:27" x14ac:dyDescent="0.2">
      <c r="A40" s="302" t="s">
        <v>95</v>
      </c>
      <c r="B40" s="223"/>
      <c r="C40" s="223"/>
      <c r="D40" s="363">
        <v>210.15</v>
      </c>
      <c r="E40" s="223"/>
      <c r="F40" s="363"/>
      <c r="G40" s="223"/>
      <c r="H40" s="223"/>
      <c r="I40" s="223"/>
      <c r="J40" s="223"/>
      <c r="K40" s="223"/>
      <c r="L40" s="186"/>
      <c r="M40" s="223"/>
      <c r="N40" s="224">
        <f t="shared" si="3"/>
        <v>210.15</v>
      </c>
      <c r="O40" s="225">
        <v>1875</v>
      </c>
      <c r="P40" s="226">
        <f t="shared" ref="P40:P76" si="5">O40-N40</f>
        <v>1664.85</v>
      </c>
      <c r="Q40" s="396"/>
      <c r="R40" s="205"/>
      <c r="S40" s="206"/>
      <c r="T40" s="203"/>
      <c r="U40" s="205"/>
      <c r="V40" s="202"/>
      <c r="W40" s="203"/>
      <c r="X40" s="209"/>
      <c r="Y40" s="320"/>
      <c r="Z40" s="209"/>
      <c r="AA40" s="209"/>
    </row>
    <row r="41" spans="1:27" x14ac:dyDescent="0.2">
      <c r="A41" s="302" t="s">
        <v>96</v>
      </c>
      <c r="B41" s="223"/>
      <c r="C41" s="223"/>
      <c r="D41" s="363"/>
      <c r="E41" s="223"/>
      <c r="F41" s="363"/>
      <c r="G41" s="223"/>
      <c r="H41" s="223"/>
      <c r="I41" s="223"/>
      <c r="J41" s="223"/>
      <c r="K41" s="223"/>
      <c r="L41" s="223"/>
      <c r="M41" s="223"/>
      <c r="N41" s="224">
        <f t="shared" si="3"/>
        <v>0</v>
      </c>
      <c r="O41" s="225">
        <v>1875</v>
      </c>
      <c r="P41" s="226">
        <f t="shared" si="5"/>
        <v>1875</v>
      </c>
      <c r="Q41" s="396"/>
      <c r="R41" s="205"/>
      <c r="S41" s="206"/>
      <c r="T41" s="203"/>
      <c r="U41" s="205"/>
      <c r="V41" s="202"/>
      <c r="W41" s="203"/>
      <c r="X41" s="209"/>
      <c r="Y41" s="320"/>
      <c r="Z41" s="192"/>
      <c r="AA41" s="192"/>
    </row>
    <row r="42" spans="1:27" x14ac:dyDescent="0.2">
      <c r="A42" s="302" t="s">
        <v>97</v>
      </c>
      <c r="B42" s="223"/>
      <c r="C42" s="223"/>
      <c r="D42" s="363">
        <v>336.15</v>
      </c>
      <c r="E42" s="223"/>
      <c r="F42" s="363"/>
      <c r="G42" s="223"/>
      <c r="H42" s="223"/>
      <c r="I42" s="223"/>
      <c r="J42" s="223"/>
      <c r="K42" s="223"/>
      <c r="L42" s="223"/>
      <c r="M42" s="223"/>
      <c r="N42" s="224">
        <f t="shared" si="3"/>
        <v>336.15</v>
      </c>
      <c r="O42" s="225">
        <v>1875</v>
      </c>
      <c r="P42" s="226">
        <f t="shared" si="5"/>
        <v>1538.85</v>
      </c>
      <c r="Q42" s="396"/>
      <c r="R42" s="205"/>
      <c r="S42" s="206"/>
      <c r="T42" s="203"/>
      <c r="U42" s="205"/>
      <c r="V42" s="202"/>
      <c r="W42" s="203"/>
      <c r="X42" s="192"/>
      <c r="Y42" s="320"/>
      <c r="Z42" s="192"/>
      <c r="AA42" s="192"/>
    </row>
    <row r="43" spans="1:27" x14ac:dyDescent="0.2">
      <c r="A43" s="302" t="s">
        <v>98</v>
      </c>
      <c r="B43" s="223"/>
      <c r="C43" s="223"/>
      <c r="D43" s="363"/>
      <c r="E43" s="223"/>
      <c r="F43" s="363"/>
      <c r="G43" s="223"/>
      <c r="H43" s="223"/>
      <c r="I43" s="223"/>
      <c r="J43" s="223"/>
      <c r="K43" s="223"/>
      <c r="L43" s="223"/>
      <c r="M43" s="223"/>
      <c r="N43" s="224">
        <f t="shared" si="3"/>
        <v>0</v>
      </c>
      <c r="O43" s="225">
        <v>1875</v>
      </c>
      <c r="P43" s="226">
        <f>O43-N43</f>
        <v>1875</v>
      </c>
      <c r="Q43" s="396"/>
      <c r="R43" s="205"/>
      <c r="S43" s="286"/>
      <c r="T43" s="286"/>
      <c r="U43" s="220"/>
      <c r="V43" s="210"/>
      <c r="W43" s="211"/>
      <c r="X43" s="192"/>
      <c r="Y43" s="320"/>
      <c r="Z43" s="192"/>
      <c r="AA43" s="192"/>
    </row>
    <row r="44" spans="1:27" x14ac:dyDescent="0.2">
      <c r="A44" s="302" t="s">
        <v>100</v>
      </c>
      <c r="B44" s="223"/>
      <c r="C44" s="223"/>
      <c r="D44" s="363"/>
      <c r="E44" s="223"/>
      <c r="F44" s="363"/>
      <c r="G44" s="223"/>
      <c r="H44" s="223"/>
      <c r="I44" s="223"/>
      <c r="J44" s="223"/>
      <c r="K44" s="223"/>
      <c r="L44" s="223"/>
      <c r="M44" s="223"/>
      <c r="N44" s="224"/>
      <c r="O44" s="225">
        <v>550</v>
      </c>
      <c r="P44" s="226">
        <f>O44-N44</f>
        <v>550</v>
      </c>
      <c r="Q44" s="396"/>
      <c r="R44" s="205"/>
      <c r="S44" s="286"/>
      <c r="T44" s="286"/>
      <c r="U44" s="220"/>
      <c r="V44" s="192"/>
      <c r="W44" s="192"/>
      <c r="X44" s="192"/>
      <c r="Y44" s="320"/>
      <c r="Z44" s="192"/>
      <c r="AA44" s="192"/>
    </row>
    <row r="45" spans="1:27" x14ac:dyDescent="0.2">
      <c r="A45" s="303" t="s">
        <v>125</v>
      </c>
      <c r="B45" s="223"/>
      <c r="C45" s="223"/>
      <c r="D45" s="362"/>
      <c r="E45" s="223"/>
      <c r="F45" s="363"/>
      <c r="G45" s="223"/>
      <c r="H45" s="223"/>
      <c r="I45" s="223"/>
      <c r="J45" s="223"/>
      <c r="K45" s="223"/>
      <c r="L45" s="223"/>
      <c r="M45" s="223"/>
      <c r="N45" s="224">
        <f t="shared" si="3"/>
        <v>0</v>
      </c>
      <c r="O45" s="225"/>
      <c r="P45" s="226">
        <f>O45-N45</f>
        <v>0</v>
      </c>
      <c r="Q45" s="396"/>
      <c r="R45" s="205"/>
      <c r="S45" s="286"/>
      <c r="T45" s="286"/>
      <c r="U45" s="220"/>
      <c r="V45" s="199"/>
      <c r="W45" s="212"/>
      <c r="X45" s="192"/>
      <c r="Y45" s="320"/>
      <c r="Z45" s="192"/>
      <c r="AA45" s="192"/>
    </row>
    <row r="46" spans="1:27" x14ac:dyDescent="0.2">
      <c r="A46" s="239" t="s">
        <v>101</v>
      </c>
      <c r="B46" s="256">
        <f>SUBTOTAL(9,B37:B45)</f>
        <v>0</v>
      </c>
      <c r="C46" s="256">
        <f t="shared" ref="C46:P46" si="6">SUBTOTAL(9,C37:C45)</f>
        <v>0</v>
      </c>
      <c r="D46" s="365">
        <f t="shared" si="6"/>
        <v>546.29999999999995</v>
      </c>
      <c r="E46" s="256">
        <f t="shared" si="6"/>
        <v>120</v>
      </c>
      <c r="F46" s="365">
        <f t="shared" si="6"/>
        <v>0</v>
      </c>
      <c r="G46" s="256">
        <f t="shared" si="6"/>
        <v>0</v>
      </c>
      <c r="H46" s="256">
        <f t="shared" si="6"/>
        <v>0</v>
      </c>
      <c r="I46" s="256">
        <f t="shared" si="6"/>
        <v>0</v>
      </c>
      <c r="J46" s="256">
        <f t="shared" si="6"/>
        <v>0</v>
      </c>
      <c r="K46" s="256">
        <f t="shared" si="6"/>
        <v>0</v>
      </c>
      <c r="L46" s="256">
        <f t="shared" si="6"/>
        <v>0</v>
      </c>
      <c r="M46" s="256">
        <f t="shared" si="6"/>
        <v>0</v>
      </c>
      <c r="N46" s="257">
        <f>SUBTOTAL(9,N37:N45)</f>
        <v>666.3</v>
      </c>
      <c r="O46" s="258">
        <f>SUBTOTAL(9,O37:O45)</f>
        <v>11800</v>
      </c>
      <c r="P46" s="259">
        <f t="shared" si="6"/>
        <v>11133.7</v>
      </c>
      <c r="Q46" s="396"/>
      <c r="R46" s="205"/>
      <c r="S46" s="286"/>
      <c r="T46" s="286"/>
      <c r="U46" s="220"/>
      <c r="V46" s="199"/>
      <c r="W46" s="212"/>
      <c r="X46" s="192"/>
      <c r="Y46" s="320"/>
      <c r="Z46" s="192"/>
      <c r="AA46" s="192"/>
    </row>
    <row r="47" spans="1:27" x14ac:dyDescent="0.2">
      <c r="A47" s="221" t="s">
        <v>171</v>
      </c>
      <c r="B47" s="223"/>
      <c r="C47" s="223"/>
      <c r="D47" s="363"/>
      <c r="E47" s="223">
        <v>995</v>
      </c>
      <c r="F47" s="363"/>
      <c r="G47" s="223"/>
      <c r="H47" s="223"/>
      <c r="I47" s="223"/>
      <c r="J47" s="223"/>
      <c r="K47" s="223"/>
      <c r="L47" s="223"/>
      <c r="M47" s="223"/>
      <c r="N47" s="224">
        <f t="shared" ref="N47:N78" si="7">SUM(B47:M47)</f>
        <v>995</v>
      </c>
      <c r="O47" s="225">
        <v>1000</v>
      </c>
      <c r="P47" s="226">
        <f t="shared" si="5"/>
        <v>5</v>
      </c>
      <c r="Q47" s="396"/>
      <c r="R47" s="276"/>
      <c r="S47" s="286"/>
      <c r="T47" s="286"/>
      <c r="U47" s="220"/>
      <c r="V47" s="192"/>
      <c r="W47" s="192"/>
      <c r="X47" s="192"/>
      <c r="Y47" s="320"/>
      <c r="Z47" s="192"/>
      <c r="AA47" s="192"/>
    </row>
    <row r="48" spans="1:27" x14ac:dyDescent="0.2">
      <c r="A48" s="221" t="s">
        <v>267</v>
      </c>
      <c r="B48" s="223"/>
      <c r="C48" s="223"/>
      <c r="D48" s="363">
        <f>179.99+3291.75</f>
        <v>3471.74</v>
      </c>
      <c r="E48" s="223"/>
      <c r="F48" s="363">
        <v>13.89</v>
      </c>
      <c r="G48" s="223"/>
      <c r="H48" s="223"/>
      <c r="I48" s="223"/>
      <c r="J48" s="223"/>
      <c r="K48" s="223"/>
      <c r="L48" s="223"/>
      <c r="M48" s="223"/>
      <c r="N48" s="224">
        <f t="shared" si="7"/>
        <v>3485.6299999999997</v>
      </c>
      <c r="O48" s="225">
        <v>5000</v>
      </c>
      <c r="P48" s="226">
        <f t="shared" si="5"/>
        <v>1514.3700000000003</v>
      </c>
      <c r="Q48" s="396"/>
      <c r="R48" s="271"/>
      <c r="S48" s="270"/>
      <c r="T48" s="277"/>
      <c r="U48" s="213"/>
      <c r="V48" s="192"/>
      <c r="W48" s="192"/>
      <c r="X48" s="192"/>
      <c r="Y48" s="320"/>
    </row>
    <row r="49" spans="1:27" x14ac:dyDescent="0.2">
      <c r="A49" s="235" t="s">
        <v>103</v>
      </c>
      <c r="B49" s="223"/>
      <c r="C49" s="223"/>
      <c r="D49" s="363"/>
      <c r="E49" s="223"/>
      <c r="F49" s="363"/>
      <c r="G49" s="223"/>
      <c r="H49" s="223"/>
      <c r="I49" s="223"/>
      <c r="J49" s="223"/>
      <c r="K49" s="223"/>
      <c r="L49" s="223"/>
      <c r="M49" s="223"/>
      <c r="N49" s="224">
        <f t="shared" si="7"/>
        <v>0</v>
      </c>
      <c r="O49" s="225">
        <v>100</v>
      </c>
      <c r="P49" s="226">
        <f t="shared" si="5"/>
        <v>100</v>
      </c>
      <c r="Q49" s="396"/>
      <c r="R49" s="271"/>
      <c r="S49" s="270"/>
      <c r="T49" s="278"/>
      <c r="U49" s="192"/>
      <c r="V49" s="192"/>
      <c r="W49" s="192"/>
      <c r="Y49" s="299"/>
    </row>
    <row r="50" spans="1:27" x14ac:dyDescent="0.2">
      <c r="A50" s="221" t="s">
        <v>104</v>
      </c>
      <c r="B50" s="223"/>
      <c r="C50" s="223"/>
      <c r="D50" s="363"/>
      <c r="E50" s="223"/>
      <c r="F50" s="363"/>
      <c r="G50" s="223"/>
      <c r="H50" s="223"/>
      <c r="I50" s="223"/>
      <c r="J50" s="223"/>
      <c r="K50" s="223"/>
      <c r="L50" s="223"/>
      <c r="M50" s="223"/>
      <c r="N50" s="224">
        <f t="shared" si="7"/>
        <v>0</v>
      </c>
      <c r="O50" s="225">
        <v>200</v>
      </c>
      <c r="P50" s="226">
        <f t="shared" si="5"/>
        <v>200</v>
      </c>
      <c r="Q50" s="396"/>
      <c r="R50" s="271"/>
      <c r="S50" s="270"/>
      <c r="T50" s="277"/>
      <c r="U50" s="192"/>
      <c r="V50" s="192"/>
      <c r="W50" s="192"/>
      <c r="Y50" s="299"/>
    </row>
    <row r="51" spans="1:27" x14ac:dyDescent="0.2">
      <c r="A51" s="221" t="s">
        <v>105</v>
      </c>
      <c r="B51" s="223"/>
      <c r="C51" s="223"/>
      <c r="D51" s="363">
        <v>335</v>
      </c>
      <c r="E51" s="223"/>
      <c r="F51" s="363"/>
      <c r="G51" s="223"/>
      <c r="H51" s="223"/>
      <c r="I51" s="223"/>
      <c r="J51" s="223"/>
      <c r="K51" s="223"/>
      <c r="L51" s="223"/>
      <c r="M51" s="223"/>
      <c r="N51" s="224">
        <f t="shared" si="7"/>
        <v>335</v>
      </c>
      <c r="O51" s="225">
        <v>340</v>
      </c>
      <c r="P51" s="226">
        <f t="shared" si="5"/>
        <v>5</v>
      </c>
      <c r="Q51" s="396"/>
      <c r="R51" s="271"/>
      <c r="S51" s="270"/>
      <c r="T51" s="277"/>
      <c r="U51" s="192"/>
      <c r="V51" s="214"/>
      <c r="W51" s="214"/>
      <c r="Y51" s="299"/>
    </row>
    <row r="52" spans="1:27" s="215" customFormat="1" x14ac:dyDescent="0.2">
      <c r="A52" s="221" t="s">
        <v>106</v>
      </c>
      <c r="B52" s="223"/>
      <c r="C52" s="223"/>
      <c r="D52" s="363"/>
      <c r="E52" s="223"/>
      <c r="F52" s="363">
        <v>33.57</v>
      </c>
      <c r="G52" s="223"/>
      <c r="H52" s="223"/>
      <c r="I52" s="223"/>
      <c r="J52" s="223"/>
      <c r="K52" s="223"/>
      <c r="L52" s="223"/>
      <c r="M52" s="223"/>
      <c r="N52" s="224">
        <f t="shared" si="7"/>
        <v>33.57</v>
      </c>
      <c r="O52" s="225">
        <v>200</v>
      </c>
      <c r="P52" s="226">
        <f t="shared" si="5"/>
        <v>166.43</v>
      </c>
      <c r="Q52" s="396"/>
      <c r="R52" s="271"/>
      <c r="S52" s="270"/>
      <c r="T52" s="277"/>
      <c r="U52" s="192"/>
      <c r="V52" s="192"/>
      <c r="W52" s="192"/>
      <c r="X52" s="190"/>
      <c r="Y52" s="299"/>
      <c r="Z52" s="190"/>
      <c r="AA52" s="190"/>
    </row>
    <row r="53" spans="1:27" x14ac:dyDescent="0.2">
      <c r="A53" s="221" t="s">
        <v>107</v>
      </c>
      <c r="B53" s="223"/>
      <c r="C53" s="223"/>
      <c r="D53" s="363"/>
      <c r="E53" s="223"/>
      <c r="F53" s="363"/>
      <c r="G53" s="223"/>
      <c r="H53" s="223"/>
      <c r="I53" s="223"/>
      <c r="J53" s="223"/>
      <c r="K53" s="223"/>
      <c r="L53" s="223"/>
      <c r="M53" s="223"/>
      <c r="N53" s="224">
        <f t="shared" si="7"/>
        <v>0</v>
      </c>
      <c r="O53" s="225">
        <v>0</v>
      </c>
      <c r="P53" s="226">
        <f>O53-N53</f>
        <v>0</v>
      </c>
      <c r="Q53" s="396"/>
      <c r="R53" s="271"/>
      <c r="S53" s="270"/>
      <c r="T53" s="277"/>
      <c r="U53" s="192"/>
      <c r="V53" s="192"/>
      <c r="W53" s="192"/>
      <c r="Y53" s="299"/>
      <c r="Z53" s="215"/>
      <c r="AA53" s="215"/>
    </row>
    <row r="54" spans="1:27" x14ac:dyDescent="0.2">
      <c r="A54" s="235" t="s">
        <v>108</v>
      </c>
      <c r="B54" s="223"/>
      <c r="C54" s="223"/>
      <c r="D54" s="363"/>
      <c r="E54" s="223"/>
      <c r="F54" s="363"/>
      <c r="G54" s="223"/>
      <c r="H54" s="223"/>
      <c r="I54" s="223"/>
      <c r="J54" s="223"/>
      <c r="K54" s="223"/>
      <c r="L54" s="223"/>
      <c r="M54" s="223"/>
      <c r="N54" s="224">
        <f t="shared" si="7"/>
        <v>0</v>
      </c>
      <c r="O54" s="225">
        <v>200</v>
      </c>
      <c r="P54" s="226">
        <f t="shared" si="5"/>
        <v>200</v>
      </c>
      <c r="Q54" s="396"/>
      <c r="R54" s="271"/>
      <c r="S54" s="270"/>
      <c r="T54" s="277"/>
      <c r="U54" s="214"/>
      <c r="V54" s="192"/>
      <c r="W54" s="192"/>
      <c r="X54" s="215"/>
      <c r="Y54" s="323"/>
    </row>
    <row r="55" spans="1:27" x14ac:dyDescent="0.2">
      <c r="A55" s="221" t="s">
        <v>109</v>
      </c>
      <c r="B55" s="223"/>
      <c r="C55" s="223"/>
      <c r="D55" s="363"/>
      <c r="E55" s="223"/>
      <c r="F55" s="363"/>
      <c r="G55" s="223"/>
      <c r="H55" s="223"/>
      <c r="I55" s="223"/>
      <c r="J55" s="223"/>
      <c r="K55" s="223"/>
      <c r="L55" s="223"/>
      <c r="M55" s="223"/>
      <c r="N55" s="224">
        <f t="shared" si="7"/>
        <v>0</v>
      </c>
      <c r="O55" s="225">
        <v>100</v>
      </c>
      <c r="P55" s="226">
        <f t="shared" si="5"/>
        <v>100</v>
      </c>
      <c r="Q55" s="396"/>
      <c r="R55" s="271"/>
      <c r="S55" s="270"/>
      <c r="T55" s="277"/>
      <c r="U55" s="216"/>
      <c r="Y55" s="299"/>
    </row>
    <row r="56" spans="1:27" x14ac:dyDescent="0.2">
      <c r="A56" s="235" t="s">
        <v>112</v>
      </c>
      <c r="B56" s="223"/>
      <c r="C56" s="223"/>
      <c r="D56" s="363"/>
      <c r="E56" s="223"/>
      <c r="F56" s="363"/>
      <c r="G56" s="223"/>
      <c r="H56" s="223"/>
      <c r="I56" s="223"/>
      <c r="J56" s="223"/>
      <c r="K56" s="223"/>
      <c r="L56" s="223"/>
      <c r="M56" s="223"/>
      <c r="N56" s="224">
        <f t="shared" si="7"/>
        <v>0</v>
      </c>
      <c r="O56" s="225">
        <v>250</v>
      </c>
      <c r="P56" s="226">
        <f t="shared" si="5"/>
        <v>250</v>
      </c>
      <c r="Q56" s="396"/>
      <c r="R56" s="271"/>
      <c r="S56" s="270"/>
      <c r="T56" s="277"/>
      <c r="U56" s="216"/>
      <c r="Y56" s="299"/>
    </row>
    <row r="57" spans="1:27" x14ac:dyDescent="0.2">
      <c r="A57" s="221" t="s">
        <v>113</v>
      </c>
      <c r="B57" s="223"/>
      <c r="C57" s="223"/>
      <c r="D57" s="363"/>
      <c r="E57" s="223"/>
      <c r="F57" s="363">
        <v>9.5</v>
      </c>
      <c r="G57" s="223"/>
      <c r="H57" s="223"/>
      <c r="I57" s="223"/>
      <c r="J57" s="223"/>
      <c r="K57" s="223"/>
      <c r="L57" s="223"/>
      <c r="M57" s="223"/>
      <c r="N57" s="224">
        <f t="shared" si="7"/>
        <v>9.5</v>
      </c>
      <c r="O57" s="225">
        <v>500</v>
      </c>
      <c r="P57" s="226">
        <f t="shared" si="5"/>
        <v>490.5</v>
      </c>
      <c r="Q57" s="396"/>
      <c r="R57" s="271"/>
      <c r="S57" s="270"/>
      <c r="T57" s="277"/>
      <c r="U57" s="216"/>
      <c r="Y57" s="299"/>
    </row>
    <row r="58" spans="1:27" x14ac:dyDescent="0.2">
      <c r="A58" s="221" t="s">
        <v>114</v>
      </c>
      <c r="B58" s="223"/>
      <c r="C58" s="223"/>
      <c r="D58" s="363"/>
      <c r="E58" s="223"/>
      <c r="F58" s="363">
        <f>74.99</f>
        <v>74.989999999999995</v>
      </c>
      <c r="G58" s="223"/>
      <c r="H58" s="223"/>
      <c r="I58" s="223"/>
      <c r="J58" s="223"/>
      <c r="K58" s="223"/>
      <c r="L58" s="223"/>
      <c r="M58" s="223"/>
      <c r="N58" s="224">
        <f t="shared" si="7"/>
        <v>74.989999999999995</v>
      </c>
      <c r="O58" s="225">
        <v>500</v>
      </c>
      <c r="P58" s="226">
        <f t="shared" si="5"/>
        <v>425.01</v>
      </c>
      <c r="Q58" s="396"/>
      <c r="R58" s="271"/>
      <c r="S58" s="270"/>
      <c r="T58" s="277"/>
      <c r="U58" s="192"/>
      <c r="Y58" s="299"/>
    </row>
    <row r="59" spans="1:27" x14ac:dyDescent="0.2">
      <c r="A59" s="221" t="s">
        <v>115</v>
      </c>
      <c r="B59" s="223"/>
      <c r="C59" s="223"/>
      <c r="D59" s="363"/>
      <c r="E59" s="223"/>
      <c r="F59" s="363"/>
      <c r="G59" s="223"/>
      <c r="H59" s="223"/>
      <c r="I59" s="223"/>
      <c r="J59" s="223"/>
      <c r="K59" s="223"/>
      <c r="L59" s="223"/>
      <c r="M59" s="223"/>
      <c r="N59" s="224">
        <f t="shared" si="7"/>
        <v>0</v>
      </c>
      <c r="O59" s="225">
        <v>120</v>
      </c>
      <c r="P59" s="226">
        <f t="shared" si="5"/>
        <v>120</v>
      </c>
      <c r="Q59" s="396"/>
      <c r="R59" s="271"/>
      <c r="S59" s="270"/>
      <c r="T59" s="277"/>
      <c r="U59" s="192"/>
      <c r="Y59" s="299"/>
    </row>
    <row r="60" spans="1:27" x14ac:dyDescent="0.2">
      <c r="A60" s="235" t="s">
        <v>152</v>
      </c>
      <c r="B60" s="223"/>
      <c r="C60" s="223"/>
      <c r="D60" s="363"/>
      <c r="E60" s="223"/>
      <c r="F60" s="363"/>
      <c r="G60" s="223"/>
      <c r="H60" s="223"/>
      <c r="I60" s="223"/>
      <c r="J60" s="223"/>
      <c r="K60" s="223"/>
      <c r="L60" s="223"/>
      <c r="M60" s="223"/>
      <c r="N60" s="224">
        <f>SUM(B60:M60)</f>
        <v>0</v>
      </c>
      <c r="O60" s="225">
        <v>500</v>
      </c>
      <c r="P60" s="226">
        <f>O60-N60</f>
        <v>500</v>
      </c>
      <c r="Q60" s="396"/>
      <c r="R60" s="271"/>
      <c r="S60" s="270"/>
      <c r="T60" s="277"/>
      <c r="U60" s="192"/>
      <c r="Y60" s="299"/>
    </row>
    <row r="61" spans="1:27" x14ac:dyDescent="0.2">
      <c r="A61" s="235" t="s">
        <v>153</v>
      </c>
      <c r="B61" s="223"/>
      <c r="C61" s="223"/>
      <c r="D61" s="363"/>
      <c r="E61" s="223"/>
      <c r="F61" s="363"/>
      <c r="G61" s="223"/>
      <c r="H61" s="223"/>
      <c r="I61" s="223"/>
      <c r="J61" s="223"/>
      <c r="K61" s="223"/>
      <c r="L61" s="223"/>
      <c r="M61" s="223"/>
      <c r="N61" s="224">
        <f>SUM(B61:M61)</f>
        <v>0</v>
      </c>
      <c r="O61" s="225">
        <v>500</v>
      </c>
      <c r="P61" s="226">
        <f>O61-N61</f>
        <v>500</v>
      </c>
      <c r="Q61" s="396"/>
      <c r="R61" s="271"/>
      <c r="S61" s="270"/>
      <c r="T61" s="277"/>
      <c r="U61" s="192"/>
      <c r="Y61" s="299"/>
    </row>
    <row r="62" spans="1:27" x14ac:dyDescent="0.2">
      <c r="A62" s="235" t="s">
        <v>275</v>
      </c>
      <c r="B62" s="223"/>
      <c r="C62" s="223"/>
      <c r="D62" s="363"/>
      <c r="E62" s="223"/>
      <c r="F62" s="363"/>
      <c r="G62" s="223"/>
      <c r="H62" s="223"/>
      <c r="I62" s="223"/>
      <c r="J62" s="223"/>
      <c r="K62" s="223"/>
      <c r="L62" s="223"/>
      <c r="M62" s="223"/>
      <c r="N62" s="224"/>
      <c r="O62" s="225">
        <v>250</v>
      </c>
      <c r="P62" s="226"/>
      <c r="Q62" s="396"/>
      <c r="R62" s="271"/>
      <c r="S62" s="270"/>
      <c r="T62" s="277"/>
      <c r="U62" s="192"/>
      <c r="Y62" s="299"/>
    </row>
    <row r="63" spans="1:27" x14ac:dyDescent="0.2">
      <c r="A63" s="235" t="s">
        <v>210</v>
      </c>
      <c r="B63" s="223"/>
      <c r="C63" s="223"/>
      <c r="D63" s="363"/>
      <c r="E63" s="223"/>
      <c r="F63" s="363"/>
      <c r="G63" s="223"/>
      <c r="H63" s="223"/>
      <c r="I63" s="223"/>
      <c r="J63" s="223"/>
      <c r="K63" s="223"/>
      <c r="L63" s="223"/>
      <c r="M63" s="223"/>
      <c r="N63" s="224">
        <f>SUM(B63:M63)</f>
        <v>0</v>
      </c>
      <c r="O63" s="225">
        <v>0</v>
      </c>
      <c r="P63" s="226">
        <f>O63-N63</f>
        <v>0</v>
      </c>
      <c r="Q63" s="396"/>
      <c r="R63" s="271"/>
      <c r="S63" s="270"/>
      <c r="T63" s="277"/>
      <c r="U63" s="192"/>
      <c r="Y63" s="299"/>
    </row>
    <row r="64" spans="1:27" x14ac:dyDescent="0.2">
      <c r="A64" s="235" t="s">
        <v>116</v>
      </c>
      <c r="B64" s="223"/>
      <c r="C64" s="223"/>
      <c r="D64" s="363"/>
      <c r="E64" s="223"/>
      <c r="F64" s="363"/>
      <c r="G64" s="223"/>
      <c r="H64" s="223"/>
      <c r="I64" s="223"/>
      <c r="J64" s="223"/>
      <c r="K64" s="223"/>
      <c r="L64" s="223"/>
      <c r="M64" s="223"/>
      <c r="N64" s="224">
        <f t="shared" si="7"/>
        <v>0</v>
      </c>
      <c r="O64" s="225">
        <v>500</v>
      </c>
      <c r="P64" s="226">
        <f t="shared" si="5"/>
        <v>500</v>
      </c>
      <c r="Q64" s="396"/>
      <c r="R64" s="271"/>
      <c r="S64" s="273"/>
      <c r="T64" s="277"/>
      <c r="U64" s="192"/>
      <c r="Y64" s="299"/>
    </row>
    <row r="65" spans="1:25" x14ac:dyDescent="0.2">
      <c r="A65" s="235" t="s">
        <v>117</v>
      </c>
      <c r="B65" s="223"/>
      <c r="C65" s="223"/>
      <c r="D65" s="363">
        <v>395.34</v>
      </c>
      <c r="E65" s="223"/>
      <c r="F65" s="363"/>
      <c r="G65" s="223"/>
      <c r="H65" s="223"/>
      <c r="I65" s="223"/>
      <c r="J65" s="223"/>
      <c r="K65" s="223"/>
      <c r="L65" s="223"/>
      <c r="M65" s="223"/>
      <c r="N65" s="224">
        <f t="shared" si="7"/>
        <v>395.34</v>
      </c>
      <c r="O65" s="225">
        <v>500</v>
      </c>
      <c r="P65" s="226">
        <f t="shared" si="5"/>
        <v>104.66000000000003</v>
      </c>
      <c r="Q65" s="396"/>
      <c r="R65" s="271"/>
      <c r="S65" s="273"/>
      <c r="T65" s="277"/>
      <c r="U65" s="192"/>
      <c r="Y65" s="299"/>
    </row>
    <row r="66" spans="1:25" x14ac:dyDescent="0.2">
      <c r="A66" s="235" t="s">
        <v>154</v>
      </c>
      <c r="B66" s="223"/>
      <c r="C66" s="223"/>
      <c r="D66" s="363">
        <f>460.68</f>
        <v>460.68</v>
      </c>
      <c r="E66" s="223"/>
      <c r="F66" s="363"/>
      <c r="G66" s="223"/>
      <c r="H66" s="223"/>
      <c r="I66" s="223"/>
      <c r="J66" s="223"/>
      <c r="K66" s="223"/>
      <c r="L66" s="223"/>
      <c r="M66" s="223"/>
      <c r="N66" s="224">
        <f t="shared" si="7"/>
        <v>460.68</v>
      </c>
      <c r="O66" s="225">
        <v>500</v>
      </c>
      <c r="P66" s="226">
        <f t="shared" si="5"/>
        <v>39.319999999999993</v>
      </c>
      <c r="Q66" s="396"/>
      <c r="R66" s="279"/>
      <c r="S66" s="270"/>
      <c r="T66" s="280"/>
      <c r="U66" s="192"/>
      <c r="Y66" s="299"/>
    </row>
    <row r="67" spans="1:25" x14ac:dyDescent="0.2">
      <c r="A67" s="221" t="s">
        <v>78</v>
      </c>
      <c r="B67" s="223"/>
      <c r="C67" s="223">
        <f>2905.09</f>
        <v>2905.09</v>
      </c>
      <c r="D67" s="363">
        <f>202.44+864.33+261.82</f>
        <v>1328.59</v>
      </c>
      <c r="E67" s="223"/>
      <c r="F67" s="363">
        <f>132.86+65.34</f>
        <v>198.20000000000002</v>
      </c>
      <c r="G67" s="223"/>
      <c r="H67" s="223"/>
      <c r="I67" s="223"/>
      <c r="J67" s="223"/>
      <c r="K67" s="223"/>
      <c r="L67" s="223"/>
      <c r="M67" s="223"/>
      <c r="N67" s="224">
        <f t="shared" si="7"/>
        <v>4431.88</v>
      </c>
      <c r="O67" s="225">
        <v>7000</v>
      </c>
      <c r="P67" s="226">
        <f t="shared" si="5"/>
        <v>2568.12</v>
      </c>
      <c r="Q67" s="396"/>
      <c r="R67" s="273"/>
      <c r="S67" s="274"/>
      <c r="T67" s="272"/>
      <c r="U67" s="275"/>
      <c r="Y67" s="299"/>
    </row>
    <row r="68" spans="1:25" x14ac:dyDescent="0.2">
      <c r="A68" s="260" t="s">
        <v>157</v>
      </c>
      <c r="B68" s="223"/>
      <c r="C68" s="223"/>
      <c r="D68" s="363"/>
      <c r="E68" s="223"/>
      <c r="F68" s="363"/>
      <c r="G68" s="223"/>
      <c r="H68" s="223"/>
      <c r="I68" s="223"/>
      <c r="J68" s="223"/>
      <c r="K68" s="223"/>
      <c r="L68" s="223"/>
      <c r="M68" s="223"/>
      <c r="N68" s="224">
        <f t="shared" si="7"/>
        <v>0</v>
      </c>
      <c r="O68" s="225">
        <v>2000</v>
      </c>
      <c r="P68" s="226">
        <f t="shared" si="5"/>
        <v>2000</v>
      </c>
      <c r="Q68" s="396"/>
      <c r="R68" s="208"/>
      <c r="S68" s="208"/>
      <c r="T68" s="281"/>
      <c r="Y68" s="299"/>
    </row>
    <row r="69" spans="1:25" x14ac:dyDescent="0.2">
      <c r="A69" s="221" t="s">
        <v>118</v>
      </c>
      <c r="B69" s="223"/>
      <c r="C69" s="223"/>
      <c r="D69" s="363"/>
      <c r="E69" s="223"/>
      <c r="F69" s="363"/>
      <c r="G69" s="223"/>
      <c r="H69" s="223"/>
      <c r="I69" s="223"/>
      <c r="J69" s="223"/>
      <c r="K69" s="223"/>
      <c r="L69" s="223"/>
      <c r="M69" s="223"/>
      <c r="N69" s="224">
        <f t="shared" si="7"/>
        <v>0</v>
      </c>
      <c r="O69" s="225">
        <v>750</v>
      </c>
      <c r="P69" s="226">
        <f t="shared" si="5"/>
        <v>750</v>
      </c>
      <c r="Q69" s="396"/>
      <c r="R69" s="208"/>
      <c r="S69" s="208"/>
      <c r="T69" s="281"/>
      <c r="Y69" s="299"/>
    </row>
    <row r="70" spans="1:25" x14ac:dyDescent="0.2">
      <c r="A70" s="235" t="s">
        <v>119</v>
      </c>
      <c r="B70" s="223"/>
      <c r="C70" s="223"/>
      <c r="D70" s="363"/>
      <c r="E70" s="223">
        <f>106.29+390.35</f>
        <v>496.64000000000004</v>
      </c>
      <c r="F70" s="363">
        <f>55.79</f>
        <v>55.79</v>
      </c>
      <c r="G70" s="223"/>
      <c r="H70" s="223"/>
      <c r="I70" s="223"/>
      <c r="J70" s="223"/>
      <c r="K70" s="223"/>
      <c r="L70" s="223"/>
      <c r="M70" s="223"/>
      <c r="N70" s="224">
        <f t="shared" si="7"/>
        <v>552.43000000000006</v>
      </c>
      <c r="O70" s="225">
        <v>1350</v>
      </c>
      <c r="P70" s="226">
        <f t="shared" si="5"/>
        <v>797.56999999999994</v>
      </c>
      <c r="Q70" s="396"/>
      <c r="Y70" s="299"/>
    </row>
    <row r="71" spans="1:25" x14ac:dyDescent="0.2">
      <c r="A71" s="235" t="s">
        <v>120</v>
      </c>
      <c r="B71" s="223"/>
      <c r="C71" s="223"/>
      <c r="D71" s="363">
        <v>235</v>
      </c>
      <c r="E71" s="223"/>
      <c r="F71" s="363"/>
      <c r="G71" s="223"/>
      <c r="H71" s="223"/>
      <c r="I71" s="223"/>
      <c r="J71" s="223"/>
      <c r="K71" s="223"/>
      <c r="L71" s="223"/>
      <c r="M71" s="223"/>
      <c r="N71" s="224">
        <f t="shared" si="7"/>
        <v>235</v>
      </c>
      <c r="O71" s="225">
        <v>300</v>
      </c>
      <c r="P71" s="226">
        <f t="shared" si="5"/>
        <v>65</v>
      </c>
      <c r="Q71" s="396"/>
      <c r="Y71" s="299"/>
    </row>
    <row r="72" spans="1:25" x14ac:dyDescent="0.2">
      <c r="A72" s="221" t="s">
        <v>121</v>
      </c>
      <c r="B72" s="223"/>
      <c r="C72" s="223"/>
      <c r="D72" s="363"/>
      <c r="E72" s="223"/>
      <c r="F72" s="363"/>
      <c r="G72" s="223"/>
      <c r="H72" s="223"/>
      <c r="I72" s="223"/>
      <c r="J72" s="223"/>
      <c r="K72" s="223"/>
      <c r="L72" s="223"/>
      <c r="M72" s="223"/>
      <c r="N72" s="224">
        <f t="shared" si="7"/>
        <v>0</v>
      </c>
      <c r="O72" s="225">
        <v>75</v>
      </c>
      <c r="P72" s="226">
        <f t="shared" si="5"/>
        <v>75</v>
      </c>
      <c r="Q72" s="396"/>
      <c r="Y72" s="299"/>
    </row>
    <row r="73" spans="1:25" x14ac:dyDescent="0.2">
      <c r="A73" s="221" t="s">
        <v>156</v>
      </c>
      <c r="B73" s="223"/>
      <c r="C73" s="223"/>
      <c r="D73" s="363"/>
      <c r="E73" s="223">
        <f>109.9</f>
        <v>109.9</v>
      </c>
      <c r="F73" s="363">
        <f>100</f>
        <v>100</v>
      </c>
      <c r="G73" s="223"/>
      <c r="H73" s="223"/>
      <c r="I73" s="223"/>
      <c r="J73" s="223"/>
      <c r="K73" s="223"/>
      <c r="L73" s="223"/>
      <c r="M73" s="223"/>
      <c r="N73" s="224">
        <f t="shared" si="7"/>
        <v>209.9</v>
      </c>
      <c r="O73" s="225">
        <v>500</v>
      </c>
      <c r="P73" s="226">
        <f t="shared" si="5"/>
        <v>290.10000000000002</v>
      </c>
      <c r="Q73" s="396"/>
      <c r="Y73" s="299"/>
    </row>
    <row r="74" spans="1:25" x14ac:dyDescent="0.2">
      <c r="A74" s="221" t="s">
        <v>122</v>
      </c>
      <c r="B74" s="223"/>
      <c r="C74" s="223"/>
      <c r="D74" s="363"/>
      <c r="E74" s="223">
        <v>90</v>
      </c>
      <c r="F74" s="363"/>
      <c r="G74" s="223"/>
      <c r="H74" s="223"/>
      <c r="I74" s="223"/>
      <c r="J74" s="223"/>
      <c r="K74" s="223"/>
      <c r="L74" s="223"/>
      <c r="M74" s="223"/>
      <c r="N74" s="224">
        <f t="shared" si="7"/>
        <v>90</v>
      </c>
      <c r="O74" s="225">
        <v>140</v>
      </c>
      <c r="P74" s="226">
        <f t="shared" si="5"/>
        <v>50</v>
      </c>
      <c r="Q74" s="396"/>
      <c r="Y74" s="299"/>
    </row>
    <row r="75" spans="1:25" x14ac:dyDescent="0.2">
      <c r="A75" s="221" t="s">
        <v>123</v>
      </c>
      <c r="B75" s="223"/>
      <c r="C75" s="223"/>
      <c r="D75" s="363">
        <f>248.71+152.48+29.02+149.51+57.08+175.93</f>
        <v>812.73</v>
      </c>
      <c r="E75" s="223">
        <f>39+50.42+20.74+80.66+142.14</f>
        <v>332.96</v>
      </c>
      <c r="F75" s="363">
        <f>19.48+250+24.62+249.98+62.29</f>
        <v>606.37</v>
      </c>
      <c r="G75" s="223"/>
      <c r="H75" s="223"/>
      <c r="I75" s="223"/>
      <c r="J75" s="223"/>
      <c r="K75" s="223"/>
      <c r="L75" s="223"/>
      <c r="M75" s="223"/>
      <c r="N75" s="224">
        <f t="shared" si="7"/>
        <v>1752.06</v>
      </c>
      <c r="O75" s="225">
        <v>8250</v>
      </c>
      <c r="P75" s="226">
        <f t="shared" si="5"/>
        <v>6497.9400000000005</v>
      </c>
      <c r="Q75" s="396"/>
      <c r="R75" s="205"/>
      <c r="Y75" s="299"/>
    </row>
    <row r="76" spans="1:25" x14ac:dyDescent="0.2">
      <c r="A76" s="221" t="s">
        <v>124</v>
      </c>
      <c r="B76" s="223"/>
      <c r="C76" s="223"/>
      <c r="D76" s="363"/>
      <c r="E76" s="223"/>
      <c r="F76" s="363"/>
      <c r="G76" s="223"/>
      <c r="H76" s="223"/>
      <c r="I76" s="223"/>
      <c r="J76" s="223"/>
      <c r="K76" s="223"/>
      <c r="L76" s="223"/>
      <c r="M76" s="223"/>
      <c r="N76" s="224">
        <f t="shared" si="7"/>
        <v>0</v>
      </c>
      <c r="O76" s="225">
        <v>1000</v>
      </c>
      <c r="P76" s="226">
        <f t="shared" si="5"/>
        <v>1000</v>
      </c>
      <c r="Q76" s="396"/>
      <c r="R76" s="205"/>
      <c r="Y76" s="299"/>
    </row>
    <row r="77" spans="1:25" x14ac:dyDescent="0.2">
      <c r="A77" s="221" t="s">
        <v>155</v>
      </c>
      <c r="B77" s="223"/>
      <c r="C77" s="223"/>
      <c r="D77" s="363"/>
      <c r="E77" s="223"/>
      <c r="F77" s="363"/>
      <c r="G77" s="223"/>
      <c r="H77" s="223"/>
      <c r="I77" s="223"/>
      <c r="J77" s="223"/>
      <c r="K77" s="223"/>
      <c r="L77" s="223"/>
      <c r="M77" s="223"/>
      <c r="N77" s="224">
        <f t="shared" si="7"/>
        <v>0</v>
      </c>
      <c r="O77" s="225">
        <v>150</v>
      </c>
      <c r="P77" s="226">
        <f>O77-N77</f>
        <v>150</v>
      </c>
      <c r="Q77" s="396"/>
      <c r="Y77" s="299"/>
    </row>
    <row r="78" spans="1:25" x14ac:dyDescent="0.2">
      <c r="A78" s="221"/>
      <c r="B78" s="223"/>
      <c r="C78" s="223"/>
      <c r="D78" s="363"/>
      <c r="E78" s="223"/>
      <c r="F78" s="363"/>
      <c r="G78" s="223"/>
      <c r="H78" s="223"/>
      <c r="I78" s="223"/>
      <c r="J78" s="223"/>
      <c r="K78" s="223"/>
      <c r="L78" s="223"/>
      <c r="M78" s="223"/>
      <c r="N78" s="224">
        <f t="shared" si="7"/>
        <v>0</v>
      </c>
      <c r="O78" s="225"/>
      <c r="P78" s="226"/>
      <c r="Q78" s="396"/>
      <c r="Y78" s="299"/>
    </row>
    <row r="79" spans="1:25" x14ac:dyDescent="0.2">
      <c r="A79" s="239" t="s">
        <v>25</v>
      </c>
      <c r="B79" s="256">
        <f t="shared" ref="B79:M79" si="8">SUM(B19:B36)+B46+SUM(B47:B78)</f>
        <v>0</v>
      </c>
      <c r="C79" s="256">
        <f t="shared" si="8"/>
        <v>2905.09</v>
      </c>
      <c r="D79" s="365">
        <f t="shared" si="8"/>
        <v>8002.3</v>
      </c>
      <c r="E79" s="256">
        <f t="shared" si="8"/>
        <v>2185.84</v>
      </c>
      <c r="F79" s="365">
        <f t="shared" si="8"/>
        <v>2965.82</v>
      </c>
      <c r="G79" s="256">
        <f t="shared" si="8"/>
        <v>0</v>
      </c>
      <c r="H79" s="256">
        <f t="shared" si="8"/>
        <v>0</v>
      </c>
      <c r="I79" s="256">
        <f t="shared" si="8"/>
        <v>0</v>
      </c>
      <c r="J79" s="256">
        <f t="shared" si="8"/>
        <v>0</v>
      </c>
      <c r="K79" s="256">
        <f t="shared" si="8"/>
        <v>0</v>
      </c>
      <c r="L79" s="256">
        <f t="shared" si="8"/>
        <v>0</v>
      </c>
      <c r="M79" s="256">
        <f t="shared" si="8"/>
        <v>0</v>
      </c>
      <c r="N79" s="261">
        <f>SUBTOTAL(9,N18:N78)</f>
        <v>16059.05</v>
      </c>
      <c r="O79" s="262">
        <f>SUBTOTAL(9,O18:O78)</f>
        <v>62545</v>
      </c>
      <c r="P79" s="284">
        <f>SUBTOTAL(9,P18:P78)</f>
        <v>46235.94999999999</v>
      </c>
      <c r="Q79" s="396"/>
      <c r="R79" s="205"/>
      <c r="Y79" s="299"/>
    </row>
    <row r="80" spans="1:25" x14ac:dyDescent="0.2">
      <c r="A80" s="217" t="s">
        <v>26</v>
      </c>
      <c r="B80" s="263">
        <f t="shared" ref="B80:O80" si="9">B17-B79</f>
        <v>0</v>
      </c>
      <c r="C80" s="263">
        <f t="shared" si="9"/>
        <v>-2905.09</v>
      </c>
      <c r="D80" s="367">
        <f t="shared" si="9"/>
        <v>-374.21000000000004</v>
      </c>
      <c r="E80" s="263">
        <f t="shared" si="9"/>
        <v>3106.9300000000003</v>
      </c>
      <c r="F80" s="367">
        <f t="shared" si="9"/>
        <v>24191.409999999996</v>
      </c>
      <c r="G80" s="263">
        <f t="shared" si="9"/>
        <v>0</v>
      </c>
      <c r="H80" s="263">
        <f t="shared" si="9"/>
        <v>0</v>
      </c>
      <c r="I80" s="263">
        <f t="shared" si="9"/>
        <v>0</v>
      </c>
      <c r="J80" s="263">
        <f t="shared" si="9"/>
        <v>0</v>
      </c>
      <c r="K80" s="263">
        <f t="shared" si="9"/>
        <v>0</v>
      </c>
      <c r="L80" s="263">
        <f t="shared" si="9"/>
        <v>0</v>
      </c>
      <c r="M80" s="263">
        <f t="shared" si="9"/>
        <v>0</v>
      </c>
      <c r="N80" s="282">
        <f t="shared" si="9"/>
        <v>24019.039999999997</v>
      </c>
      <c r="O80" s="283">
        <f t="shared" si="9"/>
        <v>-16745</v>
      </c>
      <c r="P80" s="285">
        <f>P17+P79</f>
        <v>40514.039999999994</v>
      </c>
      <c r="Q80" s="396"/>
      <c r="R80" s="205"/>
      <c r="Y80" s="299"/>
    </row>
    <row r="81" spans="1:25" x14ac:dyDescent="0.2">
      <c r="A81" s="264" t="s">
        <v>27</v>
      </c>
      <c r="C81" s="186"/>
      <c r="D81" s="364"/>
      <c r="E81" s="186"/>
      <c r="F81" s="364"/>
      <c r="G81" s="186"/>
      <c r="H81" s="186"/>
      <c r="I81" s="186"/>
      <c r="J81" s="186"/>
      <c r="K81" s="186"/>
      <c r="L81" s="186"/>
      <c r="M81" s="186"/>
      <c r="N81" s="265"/>
      <c r="O81" s="266"/>
      <c r="P81" s="267"/>
      <c r="Q81" s="396"/>
      <c r="R81" s="205"/>
      <c r="Y81" s="299"/>
    </row>
    <row r="82" spans="1:25" x14ac:dyDescent="0.2">
      <c r="A82" s="221" t="s">
        <v>28</v>
      </c>
      <c r="B82" s="223">
        <f>0.59+0.55</f>
        <v>1.1400000000000001</v>
      </c>
      <c r="C82" s="223">
        <f>0.54+0.55</f>
        <v>1.0900000000000001</v>
      </c>
      <c r="D82" s="363">
        <f>0.5+0.53</f>
        <v>1.03</v>
      </c>
      <c r="E82" s="223">
        <f>0.45+0.55</f>
        <v>1</v>
      </c>
      <c r="F82" s="363">
        <f>1.43+1.06</f>
        <v>2.4900000000000002</v>
      </c>
      <c r="G82" s="223"/>
      <c r="H82" s="223"/>
      <c r="I82" s="223"/>
      <c r="J82" s="223"/>
      <c r="K82" s="223"/>
      <c r="L82" s="223"/>
      <c r="M82" s="223"/>
      <c r="N82" s="224">
        <f>SUM(B82:M82)</f>
        <v>6.7500000000000009</v>
      </c>
      <c r="O82" s="225">
        <v>10</v>
      </c>
      <c r="P82" s="226">
        <f>O82-N82</f>
        <v>3.2499999999999991</v>
      </c>
      <c r="Q82" s="396"/>
      <c r="R82" s="205"/>
      <c r="Y82" s="299"/>
    </row>
    <row r="83" spans="1:25" x14ac:dyDescent="0.2">
      <c r="A83" s="268" t="s">
        <v>29</v>
      </c>
      <c r="B83" s="223">
        <f>0.22+0.22+0.12</f>
        <v>0.56000000000000005</v>
      </c>
      <c r="C83" s="223"/>
      <c r="D83" s="363"/>
      <c r="E83" s="223"/>
      <c r="F83" s="363"/>
      <c r="G83" s="223"/>
      <c r="H83" s="223"/>
      <c r="I83" s="223"/>
      <c r="J83" s="223"/>
      <c r="K83" s="223"/>
      <c r="L83" s="223"/>
      <c r="M83" s="223"/>
      <c r="N83" s="224">
        <f>SUM(B83:M83)</f>
        <v>0.56000000000000005</v>
      </c>
      <c r="O83" s="225">
        <v>100</v>
      </c>
      <c r="P83" s="226">
        <f>O83-N83</f>
        <v>99.44</v>
      </c>
      <c r="Q83" s="396"/>
      <c r="R83" s="205"/>
      <c r="Y83" s="299"/>
    </row>
    <row r="84" spans="1:25" x14ac:dyDescent="0.2">
      <c r="A84" s="269" t="s">
        <v>30</v>
      </c>
      <c r="B84" s="218">
        <f>SUM(B82:B83)</f>
        <v>1.7000000000000002</v>
      </c>
      <c r="C84" s="218">
        <f>SUM(C82:C83)</f>
        <v>1.0900000000000001</v>
      </c>
      <c r="D84" s="368">
        <f t="shared" ref="D84:M84" si="10">SUM(D82:D83)</f>
        <v>1.03</v>
      </c>
      <c r="E84" s="218">
        <f t="shared" si="10"/>
        <v>1</v>
      </c>
      <c r="F84" s="368">
        <f t="shared" si="10"/>
        <v>2.4900000000000002</v>
      </c>
      <c r="G84" s="218">
        <f t="shared" si="10"/>
        <v>0</v>
      </c>
      <c r="H84" s="218">
        <f t="shared" si="10"/>
        <v>0</v>
      </c>
      <c r="I84" s="218">
        <f t="shared" si="10"/>
        <v>0</v>
      </c>
      <c r="J84" s="218">
        <f>SUM(J82:J83)</f>
        <v>0</v>
      </c>
      <c r="K84" s="218">
        <f t="shared" si="10"/>
        <v>0</v>
      </c>
      <c r="L84" s="218">
        <f t="shared" si="10"/>
        <v>0</v>
      </c>
      <c r="M84" s="218">
        <f t="shared" si="10"/>
        <v>0</v>
      </c>
      <c r="N84" s="240">
        <f>SUM(N82:N83)</f>
        <v>7.3100000000000005</v>
      </c>
      <c r="O84" s="241">
        <f>SUM(O82:O83)</f>
        <v>110</v>
      </c>
      <c r="P84" s="242">
        <f>SUM(P82:P83)</f>
        <v>102.69</v>
      </c>
      <c r="Q84" s="396"/>
      <c r="R84" s="205"/>
      <c r="Y84" s="299"/>
    </row>
    <row r="85" spans="1:25" x14ac:dyDescent="0.2">
      <c r="A85" s="269" t="s">
        <v>31</v>
      </c>
      <c r="B85" s="218">
        <f>(B84)-(0)</f>
        <v>1.7000000000000002</v>
      </c>
      <c r="C85" s="218">
        <f t="shared" ref="C85:P85" si="11">(C84)-(0)</f>
        <v>1.0900000000000001</v>
      </c>
      <c r="D85" s="368">
        <f t="shared" si="11"/>
        <v>1.03</v>
      </c>
      <c r="E85" s="218">
        <f t="shared" si="11"/>
        <v>1</v>
      </c>
      <c r="F85" s="368">
        <f t="shared" si="11"/>
        <v>2.4900000000000002</v>
      </c>
      <c r="G85" s="218">
        <f t="shared" si="11"/>
        <v>0</v>
      </c>
      <c r="H85" s="218">
        <f t="shared" si="11"/>
        <v>0</v>
      </c>
      <c r="I85" s="218">
        <f t="shared" si="11"/>
        <v>0</v>
      </c>
      <c r="J85" s="218">
        <f>(J84)-(0)</f>
        <v>0</v>
      </c>
      <c r="K85" s="218">
        <f t="shared" si="11"/>
        <v>0</v>
      </c>
      <c r="L85" s="218">
        <f t="shared" si="11"/>
        <v>0</v>
      </c>
      <c r="M85" s="218">
        <f t="shared" si="11"/>
        <v>0</v>
      </c>
      <c r="N85" s="240">
        <f>SUM(B85:M85)</f>
        <v>7.3100000000000005</v>
      </c>
      <c r="O85" s="241">
        <f t="shared" si="11"/>
        <v>110</v>
      </c>
      <c r="P85" s="242">
        <f t="shared" si="11"/>
        <v>102.69</v>
      </c>
      <c r="Q85" s="396"/>
      <c r="R85" s="313"/>
      <c r="S85" s="299"/>
      <c r="T85" s="314"/>
      <c r="U85" s="299"/>
      <c r="V85" s="299"/>
      <c r="W85" s="299"/>
      <c r="X85" s="299"/>
      <c r="Y85" s="299"/>
    </row>
    <row r="86" spans="1:25" ht="13.5" thickBot="1" x14ac:dyDescent="0.25">
      <c r="A86" s="239" t="s">
        <v>32</v>
      </c>
      <c r="B86" s="305">
        <f>(B80)+(B85)</f>
        <v>1.7000000000000002</v>
      </c>
      <c r="C86" s="305">
        <f>(C80)+(C85)</f>
        <v>-2904</v>
      </c>
      <c r="D86" s="369">
        <f t="shared" ref="D86:M86" si="12">(D80)+(D85)</f>
        <v>-373.18000000000006</v>
      </c>
      <c r="E86" s="305">
        <f t="shared" si="12"/>
        <v>3107.9300000000003</v>
      </c>
      <c r="F86" s="369">
        <f t="shared" si="12"/>
        <v>24193.899999999998</v>
      </c>
      <c r="G86" s="305">
        <f t="shared" si="12"/>
        <v>0</v>
      </c>
      <c r="H86" s="305">
        <f t="shared" si="12"/>
        <v>0</v>
      </c>
      <c r="I86" s="305">
        <f t="shared" si="12"/>
        <v>0</v>
      </c>
      <c r="J86" s="305">
        <f>(J80)+(J85)</f>
        <v>0</v>
      </c>
      <c r="K86" s="305">
        <f t="shared" si="12"/>
        <v>0</v>
      </c>
      <c r="L86" s="305">
        <f>(L80)+(L85)</f>
        <v>0</v>
      </c>
      <c r="M86" s="305">
        <f t="shared" si="12"/>
        <v>0</v>
      </c>
      <c r="N86" s="306">
        <f>(N80)+(N85)</f>
        <v>24026.35</v>
      </c>
      <c r="O86" s="307">
        <f>(O80)+(O85)</f>
        <v>-16635</v>
      </c>
      <c r="P86" s="308">
        <f>(P80)+(P85)</f>
        <v>40616.729999999996</v>
      </c>
      <c r="Q86" s="396"/>
      <c r="R86" s="313"/>
      <c r="S86" s="299"/>
      <c r="T86" s="314"/>
      <c r="U86" s="299"/>
      <c r="V86" s="299"/>
      <c r="W86" s="299"/>
      <c r="X86" s="299"/>
      <c r="Y86" s="299"/>
    </row>
    <row r="87" spans="1:25" ht="13.5" thickTop="1" x14ac:dyDescent="0.2">
      <c r="A87" s="309"/>
      <c r="B87" s="310"/>
      <c r="C87" s="311"/>
      <c r="D87" s="311"/>
      <c r="E87" s="311"/>
      <c r="F87" s="311"/>
      <c r="G87" s="311"/>
      <c r="H87" s="311"/>
      <c r="I87" s="311"/>
      <c r="J87" s="312"/>
      <c r="K87" s="311"/>
      <c r="L87" s="311"/>
      <c r="M87" s="311"/>
      <c r="N87" s="311"/>
      <c r="O87" s="311"/>
      <c r="P87" s="311"/>
      <c r="Q87" s="396"/>
      <c r="R87" s="313"/>
      <c r="S87" s="299"/>
      <c r="T87" s="314"/>
      <c r="U87" s="299"/>
      <c r="V87" s="299"/>
      <c r="W87" s="299"/>
      <c r="X87" s="299"/>
      <c r="Y87" s="299"/>
    </row>
    <row r="88" spans="1:25" x14ac:dyDescent="0.2">
      <c r="A88" s="309"/>
      <c r="B88" s="310"/>
      <c r="C88" s="311"/>
      <c r="D88" s="311"/>
      <c r="E88" s="311"/>
      <c r="F88" s="311"/>
      <c r="G88" s="311"/>
      <c r="H88" s="311"/>
      <c r="I88" s="311"/>
      <c r="J88" s="312"/>
      <c r="K88" s="311"/>
      <c r="L88" s="311"/>
      <c r="M88" s="311"/>
      <c r="N88" s="311"/>
      <c r="O88" s="311"/>
      <c r="P88" s="311"/>
      <c r="Q88" s="396"/>
      <c r="R88" s="313"/>
      <c r="S88" s="299"/>
      <c r="T88" s="314"/>
      <c r="U88" s="299"/>
      <c r="V88" s="299"/>
      <c r="W88" s="299"/>
      <c r="X88" s="299"/>
      <c r="Y88" s="299"/>
    </row>
    <row r="89" spans="1:25" x14ac:dyDescent="0.2">
      <c r="A89" s="309"/>
      <c r="B89" s="310" t="s">
        <v>278</v>
      </c>
      <c r="C89" s="311"/>
      <c r="D89" s="311"/>
      <c r="E89" s="311"/>
      <c r="F89" s="311"/>
      <c r="G89" s="311"/>
      <c r="H89" s="311"/>
      <c r="I89" s="311"/>
      <c r="J89" s="312"/>
      <c r="K89" s="311"/>
      <c r="L89" s="311"/>
      <c r="M89" s="311"/>
      <c r="N89" s="311"/>
      <c r="O89" s="311"/>
      <c r="P89" s="311"/>
      <c r="Q89" s="396"/>
      <c r="R89" s="313"/>
      <c r="S89" s="299"/>
      <c r="T89" s="314"/>
      <c r="U89" s="299"/>
      <c r="V89" s="299"/>
      <c r="W89" s="299"/>
      <c r="X89" s="299"/>
      <c r="Y89" s="299"/>
    </row>
    <row r="90" spans="1:25" x14ac:dyDescent="0.2">
      <c r="A90" s="315"/>
      <c r="B90" s="316" t="s">
        <v>279</v>
      </c>
      <c r="C90" s="317"/>
      <c r="D90" s="317"/>
      <c r="E90" s="317"/>
      <c r="F90" s="317"/>
      <c r="G90" s="317"/>
      <c r="H90" s="317"/>
      <c r="I90" s="317"/>
      <c r="J90" s="318"/>
      <c r="K90" s="317"/>
      <c r="L90" s="317"/>
      <c r="M90" s="317"/>
      <c r="N90" s="317"/>
      <c r="O90" s="317"/>
      <c r="P90" s="317"/>
      <c r="Q90" s="397"/>
      <c r="R90" s="313"/>
      <c r="S90" s="299"/>
      <c r="T90" s="314"/>
      <c r="U90" s="299"/>
      <c r="V90" s="299"/>
      <c r="W90" s="299"/>
      <c r="X90" s="299"/>
      <c r="Y90" s="299"/>
    </row>
    <row r="91" spans="1:25" x14ac:dyDescent="0.2">
      <c r="A91" s="315"/>
      <c r="C91" s="317"/>
      <c r="D91" s="317"/>
      <c r="E91" s="317"/>
      <c r="F91" s="317"/>
      <c r="G91" s="317"/>
      <c r="H91" s="317"/>
      <c r="I91" s="317"/>
      <c r="J91" s="318"/>
      <c r="K91" s="317"/>
      <c r="L91" s="317"/>
      <c r="M91" s="317"/>
      <c r="N91" s="317"/>
      <c r="O91" s="317"/>
      <c r="P91" s="317"/>
      <c r="Q91" s="397"/>
      <c r="R91" s="313"/>
      <c r="S91" s="299"/>
      <c r="T91" s="314"/>
      <c r="U91" s="299"/>
      <c r="V91" s="299"/>
      <c r="W91" s="299"/>
      <c r="X91" s="299"/>
      <c r="Y91" s="299"/>
    </row>
    <row r="92" spans="1:25" x14ac:dyDescent="0.2">
      <c r="A92" s="315"/>
      <c r="B92" s="316"/>
      <c r="C92" s="317"/>
      <c r="D92" s="317"/>
      <c r="E92" s="317"/>
      <c r="F92" s="317"/>
      <c r="G92" s="317"/>
      <c r="H92" s="317"/>
      <c r="I92" s="317"/>
      <c r="J92" s="318"/>
      <c r="K92" s="317"/>
      <c r="L92" s="317"/>
      <c r="M92" s="317"/>
      <c r="N92" s="317"/>
      <c r="O92" s="317"/>
      <c r="P92" s="317"/>
      <c r="Q92" s="396"/>
      <c r="R92" s="301"/>
      <c r="S92" s="299"/>
      <c r="T92" s="314"/>
      <c r="U92" s="299"/>
      <c r="V92" s="299"/>
      <c r="W92" s="299"/>
      <c r="X92" s="299"/>
      <c r="Y92" s="299"/>
    </row>
    <row r="93" spans="1:25" x14ac:dyDescent="0.2">
      <c r="A93" s="315"/>
      <c r="B93" s="316"/>
      <c r="C93" s="317"/>
      <c r="D93" s="317"/>
      <c r="E93" s="317"/>
      <c r="F93" s="317"/>
      <c r="G93" s="317"/>
      <c r="H93" s="317"/>
      <c r="I93" s="317"/>
      <c r="J93" s="318"/>
      <c r="K93" s="317"/>
      <c r="L93" s="317"/>
      <c r="M93" s="317"/>
      <c r="N93" s="317"/>
      <c r="O93" s="317"/>
      <c r="P93" s="317"/>
      <c r="Q93" s="396"/>
      <c r="R93" s="299"/>
      <c r="S93" s="299"/>
      <c r="T93" s="314"/>
      <c r="U93" s="299"/>
      <c r="V93" s="299"/>
      <c r="W93" s="299"/>
      <c r="X93" s="299"/>
      <c r="Y93" s="299"/>
    </row>
    <row r="94" spans="1:25" x14ac:dyDescent="0.2">
      <c r="A94" s="315"/>
      <c r="B94" s="316"/>
      <c r="C94" s="317"/>
      <c r="D94" s="317"/>
      <c r="E94" s="317"/>
      <c r="F94" s="317"/>
      <c r="G94" s="317"/>
      <c r="H94" s="317"/>
      <c r="I94" s="317"/>
      <c r="J94" s="318"/>
      <c r="K94" s="317"/>
      <c r="L94" s="317"/>
      <c r="M94" s="317"/>
      <c r="N94" s="317"/>
      <c r="O94" s="317"/>
      <c r="P94" s="317"/>
      <c r="Q94" s="396"/>
      <c r="R94" s="299"/>
      <c r="S94" s="299"/>
      <c r="T94" s="314"/>
      <c r="U94" s="299"/>
      <c r="V94" s="299"/>
      <c r="W94" s="299"/>
      <c r="X94" s="299"/>
      <c r="Y94" s="299"/>
    </row>
    <row r="95" spans="1:25" x14ac:dyDescent="0.2">
      <c r="A95" s="315"/>
      <c r="B95" s="316"/>
      <c r="C95" s="317"/>
      <c r="D95" s="317"/>
      <c r="E95" s="317"/>
      <c r="F95" s="317"/>
      <c r="G95" s="317"/>
      <c r="H95" s="317"/>
      <c r="I95" s="317"/>
      <c r="J95" s="318"/>
      <c r="K95" s="317"/>
      <c r="L95" s="317"/>
      <c r="M95" s="317"/>
      <c r="N95" s="317"/>
      <c r="O95" s="317"/>
      <c r="P95" s="317"/>
      <c r="Q95" s="396"/>
      <c r="R95" s="299"/>
      <c r="S95" s="299"/>
      <c r="T95" s="314"/>
      <c r="U95" s="299"/>
      <c r="V95" s="299"/>
      <c r="W95" s="299"/>
      <c r="X95" s="299"/>
      <c r="Y95" s="299"/>
    </row>
    <row r="96" spans="1:25" x14ac:dyDescent="0.2">
      <c r="A96" s="315"/>
      <c r="B96" s="316"/>
      <c r="C96" s="317"/>
      <c r="D96" s="317"/>
      <c r="E96" s="317"/>
      <c r="F96" s="317"/>
      <c r="G96" s="317"/>
      <c r="H96" s="317"/>
      <c r="I96" s="317"/>
      <c r="J96" s="318"/>
      <c r="K96" s="317"/>
      <c r="L96" s="317"/>
      <c r="M96" s="317"/>
      <c r="N96" s="317"/>
      <c r="O96" s="317"/>
      <c r="P96" s="317"/>
      <c r="Q96" s="396"/>
      <c r="R96" s="299"/>
      <c r="S96" s="299"/>
      <c r="T96" s="314"/>
      <c r="U96" s="299"/>
      <c r="V96" s="299"/>
      <c r="W96" s="299"/>
      <c r="X96" s="299"/>
      <c r="Y96" s="299"/>
    </row>
    <row r="97" spans="1:25" x14ac:dyDescent="0.2">
      <c r="A97" s="315"/>
      <c r="B97" s="316"/>
      <c r="C97" s="317"/>
      <c r="D97" s="317"/>
      <c r="E97" s="317"/>
      <c r="F97" s="317"/>
      <c r="G97" s="317"/>
      <c r="H97" s="317"/>
      <c r="I97" s="317"/>
      <c r="J97" s="318"/>
      <c r="K97" s="317"/>
      <c r="L97" s="317"/>
      <c r="M97" s="317"/>
      <c r="N97" s="317"/>
      <c r="O97" s="317"/>
      <c r="P97" s="317"/>
      <c r="Q97" s="396"/>
      <c r="R97" s="299"/>
      <c r="S97" s="299"/>
      <c r="T97" s="314"/>
      <c r="U97" s="299"/>
      <c r="V97" s="299"/>
      <c r="W97" s="299"/>
      <c r="X97" s="299"/>
      <c r="Y97" s="299"/>
    </row>
    <row r="98" spans="1:25" x14ac:dyDescent="0.2">
      <c r="A98" s="315"/>
      <c r="B98" s="316"/>
      <c r="C98" s="317"/>
      <c r="D98" s="317"/>
      <c r="E98" s="317"/>
      <c r="F98" s="317"/>
      <c r="G98" s="317"/>
      <c r="H98" s="317"/>
      <c r="I98" s="317"/>
      <c r="J98" s="318"/>
      <c r="K98" s="317"/>
      <c r="L98" s="317"/>
      <c r="M98" s="317"/>
      <c r="N98" s="317"/>
      <c r="O98" s="317"/>
      <c r="P98" s="317"/>
      <c r="Q98" s="396"/>
      <c r="R98" s="299"/>
      <c r="S98" s="299"/>
      <c r="T98" s="314"/>
      <c r="U98" s="299"/>
      <c r="V98" s="299"/>
      <c r="W98" s="299"/>
      <c r="X98" s="299"/>
      <c r="Y98" s="299"/>
    </row>
    <row r="99" spans="1:25" x14ac:dyDescent="0.2">
      <c r="A99" s="315"/>
      <c r="B99" s="316"/>
      <c r="C99" s="317"/>
      <c r="D99" s="317"/>
      <c r="E99" s="317"/>
      <c r="F99" s="317"/>
      <c r="G99" s="317"/>
      <c r="H99" s="317"/>
      <c r="I99" s="317"/>
      <c r="J99" s="318"/>
      <c r="K99" s="317"/>
      <c r="L99" s="317"/>
      <c r="M99" s="317"/>
      <c r="N99" s="317"/>
      <c r="O99" s="317"/>
      <c r="P99" s="317"/>
      <c r="Q99" s="396"/>
      <c r="R99" s="299"/>
      <c r="S99" s="299"/>
      <c r="T99" s="314"/>
      <c r="U99" s="299"/>
      <c r="V99" s="299"/>
      <c r="W99" s="299"/>
      <c r="X99" s="299"/>
      <c r="Y99" s="299"/>
    </row>
    <row r="100" spans="1:25" x14ac:dyDescent="0.2">
      <c r="A100" s="315"/>
      <c r="B100" s="316"/>
      <c r="C100" s="317"/>
      <c r="D100" s="317"/>
      <c r="E100" s="317"/>
      <c r="F100" s="317"/>
      <c r="G100" s="317"/>
      <c r="H100" s="317"/>
      <c r="I100" s="317"/>
      <c r="J100" s="318"/>
      <c r="K100" s="317"/>
      <c r="L100" s="317"/>
      <c r="M100" s="317"/>
      <c r="N100" s="317"/>
      <c r="O100" s="317"/>
      <c r="P100" s="317"/>
      <c r="Q100" s="398"/>
      <c r="R100" s="299"/>
      <c r="S100" s="299"/>
      <c r="T100" s="314"/>
      <c r="U100" s="299"/>
      <c r="V100" s="299"/>
      <c r="W100" s="299"/>
      <c r="X100" s="299"/>
      <c r="Y100" s="299"/>
    </row>
    <row r="101" spans="1:25" x14ac:dyDescent="0.2">
      <c r="A101" s="315"/>
      <c r="B101" s="316"/>
      <c r="C101" s="317"/>
      <c r="D101" s="317"/>
      <c r="E101" s="317"/>
      <c r="F101" s="317"/>
      <c r="G101" s="317"/>
      <c r="H101" s="317"/>
      <c r="I101" s="317"/>
      <c r="J101" s="318"/>
      <c r="K101" s="317"/>
      <c r="L101" s="317"/>
      <c r="M101" s="317"/>
      <c r="N101" s="317"/>
      <c r="O101" s="317"/>
      <c r="P101" s="317"/>
      <c r="Q101" s="395"/>
      <c r="R101" s="319"/>
      <c r="S101" s="320"/>
      <c r="T101" s="321"/>
      <c r="U101" s="299"/>
      <c r="V101" s="299"/>
      <c r="W101" s="299"/>
      <c r="X101" s="299"/>
      <c r="Y101" s="299"/>
    </row>
    <row r="102" spans="1:25" x14ac:dyDescent="0.2">
      <c r="A102" s="315"/>
      <c r="B102" s="316"/>
      <c r="C102" s="317"/>
      <c r="D102" s="317"/>
      <c r="E102" s="317"/>
      <c r="F102" s="317"/>
      <c r="G102" s="317"/>
      <c r="H102" s="317"/>
      <c r="I102" s="317"/>
      <c r="J102" s="318"/>
      <c r="K102" s="317"/>
      <c r="L102" s="317"/>
      <c r="M102" s="317"/>
      <c r="N102" s="317"/>
      <c r="O102" s="317"/>
      <c r="P102" s="317"/>
      <c r="Q102" s="395"/>
      <c r="R102" s="299"/>
      <c r="S102" s="320"/>
      <c r="T102" s="321"/>
      <c r="U102" s="320"/>
      <c r="V102" s="299"/>
      <c r="W102" s="299"/>
      <c r="X102" s="299"/>
      <c r="Y102" s="299"/>
    </row>
    <row r="103" spans="1:25" x14ac:dyDescent="0.2">
      <c r="A103" s="315"/>
      <c r="B103" s="316"/>
      <c r="C103" s="317"/>
      <c r="D103" s="317"/>
      <c r="E103" s="317"/>
      <c r="F103" s="317"/>
      <c r="G103" s="317"/>
      <c r="H103" s="317"/>
      <c r="I103" s="317"/>
      <c r="J103" s="318"/>
      <c r="K103" s="317"/>
      <c r="L103" s="317"/>
      <c r="M103" s="317"/>
      <c r="N103" s="317"/>
      <c r="O103" s="317"/>
      <c r="P103" s="317"/>
      <c r="Q103" s="395"/>
      <c r="R103" s="299"/>
      <c r="S103" s="320"/>
      <c r="T103" s="321"/>
      <c r="U103" s="320"/>
      <c r="V103" s="299"/>
      <c r="W103" s="299"/>
      <c r="X103" s="299"/>
      <c r="Y103" s="299"/>
    </row>
    <row r="104" spans="1:25" x14ac:dyDescent="0.2">
      <c r="A104" s="315"/>
      <c r="B104" s="316"/>
      <c r="C104" s="317"/>
      <c r="D104" s="317"/>
      <c r="E104" s="317"/>
      <c r="F104" s="317"/>
      <c r="G104" s="317"/>
      <c r="H104" s="317"/>
      <c r="I104" s="317"/>
      <c r="J104" s="318"/>
      <c r="K104" s="317"/>
      <c r="L104" s="317"/>
      <c r="M104" s="317"/>
      <c r="N104" s="317"/>
      <c r="O104" s="317"/>
      <c r="P104" s="317"/>
      <c r="Q104" s="395"/>
      <c r="R104" s="299"/>
      <c r="S104" s="336"/>
      <c r="T104" s="337"/>
      <c r="U104" s="320"/>
      <c r="V104" s="299"/>
      <c r="W104" s="299"/>
      <c r="X104" s="299"/>
      <c r="Y104" s="299"/>
    </row>
    <row r="105" spans="1:25" s="208" customFormat="1" x14ac:dyDescent="0.2">
      <c r="A105" s="315"/>
      <c r="B105" s="316"/>
      <c r="C105" s="317"/>
      <c r="D105" s="317"/>
      <c r="E105" s="317"/>
      <c r="F105" s="317"/>
      <c r="G105" s="317"/>
      <c r="H105" s="317"/>
      <c r="I105" s="317"/>
      <c r="J105" s="318"/>
      <c r="K105" s="317"/>
      <c r="L105" s="317"/>
      <c r="M105" s="317"/>
      <c r="N105" s="317"/>
      <c r="O105" s="317"/>
      <c r="P105" s="317"/>
      <c r="Q105" s="395"/>
      <c r="R105" s="299"/>
      <c r="S105" s="320"/>
      <c r="T105" s="321"/>
      <c r="U105" s="320"/>
      <c r="V105" s="299"/>
      <c r="W105" s="299"/>
      <c r="X105" s="299"/>
      <c r="Y105" s="299"/>
    </row>
    <row r="106" spans="1:25" s="208" customFormat="1" x14ac:dyDescent="0.2">
      <c r="A106" s="315"/>
      <c r="B106" s="316"/>
      <c r="C106" s="317"/>
      <c r="D106" s="317"/>
      <c r="E106" s="317"/>
      <c r="F106" s="317"/>
      <c r="G106" s="317"/>
      <c r="H106" s="317"/>
      <c r="I106" s="317"/>
      <c r="J106" s="318"/>
      <c r="K106" s="317"/>
      <c r="L106" s="317"/>
      <c r="M106" s="317"/>
      <c r="N106" s="317"/>
      <c r="O106" s="317"/>
      <c r="P106" s="317"/>
      <c r="Q106" s="395"/>
      <c r="R106" s="299"/>
      <c r="S106" s="348"/>
      <c r="T106" s="321"/>
      <c r="U106" s="320"/>
      <c r="V106" s="299"/>
      <c r="W106" s="299"/>
      <c r="X106" s="299"/>
      <c r="Y106" s="299"/>
    </row>
    <row r="107" spans="1:25" s="208" customFormat="1" x14ac:dyDescent="0.2">
      <c r="A107" s="338"/>
      <c r="B107" s="244"/>
      <c r="C107" s="189"/>
      <c r="D107" s="189"/>
      <c r="E107" s="189"/>
      <c r="F107" s="189"/>
      <c r="G107" s="189"/>
      <c r="H107" s="189"/>
      <c r="I107" s="189"/>
      <c r="J107" s="339"/>
      <c r="K107" s="189"/>
      <c r="L107" s="189"/>
      <c r="M107" s="189"/>
      <c r="N107" s="189"/>
      <c r="O107" s="189"/>
      <c r="P107" s="189"/>
      <c r="Q107" s="399"/>
      <c r="T107" s="281"/>
    </row>
    <row r="108" spans="1:25" s="208" customFormat="1" x14ac:dyDescent="0.2">
      <c r="A108" s="338"/>
      <c r="B108" s="244"/>
      <c r="C108" s="189"/>
      <c r="D108" s="189"/>
      <c r="E108" s="189"/>
      <c r="F108" s="189"/>
      <c r="G108" s="189"/>
      <c r="H108" s="189"/>
      <c r="I108" s="189"/>
      <c r="J108" s="339"/>
      <c r="K108" s="189"/>
      <c r="L108" s="189"/>
      <c r="M108" s="189"/>
      <c r="N108" s="189"/>
      <c r="O108" s="189"/>
      <c r="P108" s="189"/>
      <c r="Q108" s="399"/>
      <c r="T108" s="281"/>
    </row>
    <row r="109" spans="1:25" s="208" customFormat="1" x14ac:dyDescent="0.2">
      <c r="A109" s="338"/>
      <c r="B109" s="244"/>
      <c r="C109" s="189"/>
      <c r="D109" s="189"/>
      <c r="E109" s="189"/>
      <c r="F109" s="189"/>
      <c r="G109" s="189"/>
      <c r="H109" s="189"/>
      <c r="I109" s="189"/>
      <c r="J109" s="339"/>
      <c r="K109" s="189"/>
      <c r="L109" s="189"/>
      <c r="M109" s="189"/>
      <c r="N109" s="189"/>
      <c r="O109" s="189"/>
      <c r="P109" s="189"/>
      <c r="Q109" s="399"/>
      <c r="T109" s="281"/>
    </row>
    <row r="110" spans="1:25" x14ac:dyDescent="0.2">
      <c r="A110" s="338"/>
      <c r="B110" s="244"/>
      <c r="C110" s="189"/>
      <c r="D110" s="189"/>
      <c r="E110" s="189"/>
      <c r="F110" s="189"/>
      <c r="G110" s="189"/>
      <c r="H110" s="189"/>
      <c r="I110" s="189"/>
      <c r="J110" s="339"/>
      <c r="K110" s="189"/>
      <c r="L110" s="189"/>
      <c r="M110" s="189"/>
      <c r="Q110" s="399"/>
    </row>
    <row r="111" spans="1:25" x14ac:dyDescent="0.2">
      <c r="A111" s="338"/>
      <c r="B111" s="244"/>
      <c r="C111" s="189"/>
      <c r="D111" s="189"/>
      <c r="E111" s="189"/>
      <c r="F111" s="189"/>
      <c r="G111" s="189"/>
      <c r="H111" s="189"/>
      <c r="I111" s="189"/>
      <c r="J111" s="339"/>
      <c r="K111" s="189"/>
      <c r="L111" s="189"/>
      <c r="M111" s="189"/>
      <c r="Q111" s="399"/>
    </row>
  </sheetData>
  <mergeCells count="4">
    <mergeCell ref="S27:U27"/>
    <mergeCell ref="R2:W2"/>
    <mergeCell ref="R22:S22"/>
    <mergeCell ref="S31:T31"/>
  </mergeCells>
  <printOptions horizontalCentered="1" gridLines="1"/>
  <pageMargins left="0.25" right="0.25" top="0.75" bottom="0.75" header="0.3" footer="0.3"/>
  <pageSetup scale="48" fitToHeight="2" orientation="portrait" r:id="rId1"/>
  <headerFooter>
    <oddHeader>&amp;C&amp;12Fir Grove PTO Budget
October 2022</oddHeader>
    <oddFooter>Page &amp;P of &amp;N</oddFooter>
  </headerFooter>
  <rowBreaks count="1" manualBreakCount="1">
    <brk id="86" max="16383" man="1"/>
  </row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9428D-A8CC-4A80-AF8A-B1A60265947D}">
  <dimension ref="B2:H38"/>
  <sheetViews>
    <sheetView topLeftCell="A7" zoomScale="90" zoomScaleNormal="90" workbookViewId="0">
      <selection activeCell="E21" sqref="E21"/>
    </sheetView>
  </sheetViews>
  <sheetFormatPr defaultRowHeight="15" x14ac:dyDescent="0.25"/>
  <cols>
    <col min="1" max="1" width="5.42578125" customWidth="1"/>
    <col min="2" max="2" width="14.140625" customWidth="1"/>
    <col min="3" max="3" width="12.140625" customWidth="1"/>
    <col min="4" max="4" width="10" style="349" bestFit="1" customWidth="1"/>
    <col min="5" max="5" width="12.5703125" style="349" bestFit="1" customWidth="1"/>
    <col min="6" max="6" width="11.28515625" style="349" bestFit="1" customWidth="1"/>
    <col min="7" max="7" width="8.85546875" style="349"/>
    <col min="8" max="8" width="37.7109375" hidden="1" customWidth="1"/>
  </cols>
  <sheetData>
    <row r="2" spans="2:8" x14ac:dyDescent="0.25">
      <c r="E2" s="351">
        <v>44868</v>
      </c>
      <c r="F2" s="350"/>
    </row>
    <row r="3" spans="2:8" x14ac:dyDescent="0.25">
      <c r="B3" s="353" t="s">
        <v>223</v>
      </c>
      <c r="C3" s="353" t="s">
        <v>224</v>
      </c>
      <c r="D3" s="354" t="s">
        <v>1</v>
      </c>
      <c r="E3" s="355" t="s">
        <v>226</v>
      </c>
      <c r="F3" s="356" t="s">
        <v>225</v>
      </c>
    </row>
    <row r="4" spans="2:8" x14ac:dyDescent="0.25">
      <c r="B4" s="353" t="s">
        <v>9</v>
      </c>
      <c r="C4" s="353" t="s">
        <v>12</v>
      </c>
      <c r="D4" s="354">
        <v>250</v>
      </c>
      <c r="E4" s="354">
        <f>50.42</f>
        <v>50.42</v>
      </c>
      <c r="F4" s="357">
        <f t="shared" ref="F4:F35" si="0">D4-E4</f>
        <v>199.57999999999998</v>
      </c>
      <c r="H4" s="352" t="s">
        <v>246</v>
      </c>
    </row>
    <row r="5" spans="2:8" x14ac:dyDescent="0.25">
      <c r="B5" s="353" t="s">
        <v>9</v>
      </c>
      <c r="C5" s="353" t="s">
        <v>274</v>
      </c>
      <c r="D5" s="354">
        <v>250</v>
      </c>
      <c r="E5" s="354">
        <v>248.71</v>
      </c>
      <c r="F5" s="357">
        <f t="shared" si="0"/>
        <v>1.289999999999992</v>
      </c>
      <c r="H5" s="352" t="s">
        <v>247</v>
      </c>
    </row>
    <row r="6" spans="2:8" x14ac:dyDescent="0.25">
      <c r="B6" s="353" t="s">
        <v>9</v>
      </c>
      <c r="C6" s="353" t="s">
        <v>276</v>
      </c>
      <c r="D6" s="354">
        <v>250</v>
      </c>
      <c r="E6" s="354">
        <v>250</v>
      </c>
      <c r="F6" s="357">
        <f t="shared" si="0"/>
        <v>0</v>
      </c>
      <c r="H6" s="352" t="s">
        <v>248</v>
      </c>
    </row>
    <row r="7" spans="2:8" x14ac:dyDescent="0.25">
      <c r="B7" s="353" t="s">
        <v>13</v>
      </c>
      <c r="C7" s="353" t="s">
        <v>58</v>
      </c>
      <c r="D7" s="354">
        <v>250</v>
      </c>
      <c r="E7" s="354">
        <f>13+8.2</f>
        <v>21.2</v>
      </c>
      <c r="F7" s="357">
        <f t="shared" si="0"/>
        <v>228.8</v>
      </c>
      <c r="H7" s="352" t="s">
        <v>227</v>
      </c>
    </row>
    <row r="8" spans="2:8" x14ac:dyDescent="0.25">
      <c r="B8" s="353" t="s">
        <v>13</v>
      </c>
      <c r="C8" s="353" t="s">
        <v>10</v>
      </c>
      <c r="D8" s="354">
        <v>250</v>
      </c>
      <c r="E8" s="354">
        <f>13+8.2</f>
        <v>21.2</v>
      </c>
      <c r="F8" s="357">
        <f t="shared" si="0"/>
        <v>228.8</v>
      </c>
      <c r="H8" s="352" t="s">
        <v>228</v>
      </c>
    </row>
    <row r="9" spans="2:8" x14ac:dyDescent="0.25">
      <c r="B9" s="353" t="s">
        <v>13</v>
      </c>
      <c r="C9" s="353" t="s">
        <v>36</v>
      </c>
      <c r="D9" s="354">
        <v>250</v>
      </c>
      <c r="E9" s="354">
        <f>13+8.2</f>
        <v>21.2</v>
      </c>
      <c r="F9" s="357">
        <f t="shared" ref="F9" si="1">D9-E9</f>
        <v>228.8</v>
      </c>
      <c r="H9" s="352"/>
    </row>
    <row r="10" spans="2:8" x14ac:dyDescent="0.25">
      <c r="B10" s="353" t="s">
        <v>15</v>
      </c>
      <c r="C10" s="353" t="s">
        <v>17</v>
      </c>
      <c r="D10" s="354">
        <v>250</v>
      </c>
      <c r="E10" s="354">
        <v>0</v>
      </c>
      <c r="F10" s="357">
        <f t="shared" si="0"/>
        <v>250</v>
      </c>
      <c r="H10" s="352" t="s">
        <v>229</v>
      </c>
    </row>
    <row r="11" spans="2:8" x14ac:dyDescent="0.25">
      <c r="B11" s="353" t="s">
        <v>15</v>
      </c>
      <c r="C11" s="353" t="s">
        <v>52</v>
      </c>
      <c r="D11" s="354">
        <v>250</v>
      </c>
      <c r="E11" s="354">
        <v>0</v>
      </c>
      <c r="F11" s="357">
        <f t="shared" si="0"/>
        <v>250</v>
      </c>
      <c r="H11" s="352" t="s">
        <v>249</v>
      </c>
    </row>
    <row r="12" spans="2:8" x14ac:dyDescent="0.25">
      <c r="B12" s="353" t="s">
        <v>18</v>
      </c>
      <c r="C12" s="353" t="s">
        <v>47</v>
      </c>
      <c r="D12" s="354">
        <v>250</v>
      </c>
      <c r="E12" s="354">
        <v>0</v>
      </c>
      <c r="F12" s="357">
        <f t="shared" si="0"/>
        <v>250</v>
      </c>
      <c r="H12" s="352" t="s">
        <v>230</v>
      </c>
    </row>
    <row r="13" spans="2:8" x14ac:dyDescent="0.25">
      <c r="B13" s="353" t="s">
        <v>18</v>
      </c>
      <c r="C13" s="353" t="s">
        <v>19</v>
      </c>
      <c r="D13" s="354">
        <v>250</v>
      </c>
      <c r="E13" s="354">
        <v>57.08</v>
      </c>
      <c r="F13" s="357">
        <f t="shared" si="0"/>
        <v>192.92000000000002</v>
      </c>
      <c r="H13" s="352" t="s">
        <v>231</v>
      </c>
    </row>
    <row r="14" spans="2:8" x14ac:dyDescent="0.25">
      <c r="B14" s="353" t="s">
        <v>18</v>
      </c>
      <c r="C14" s="353" t="s">
        <v>277</v>
      </c>
      <c r="D14" s="354">
        <v>250</v>
      </c>
      <c r="E14" s="354"/>
      <c r="F14" s="357">
        <f t="shared" ref="F14" si="2">D14-E14</f>
        <v>250</v>
      </c>
      <c r="H14" s="352" t="s">
        <v>231</v>
      </c>
    </row>
    <row r="15" spans="2:8" x14ac:dyDescent="0.25">
      <c r="B15" s="353" t="s">
        <v>20</v>
      </c>
      <c r="C15" s="353" t="s">
        <v>45</v>
      </c>
      <c r="D15" s="354">
        <v>250</v>
      </c>
      <c r="E15" s="354">
        <f>29.02</f>
        <v>29.02</v>
      </c>
      <c r="F15" s="357">
        <f t="shared" si="0"/>
        <v>220.98</v>
      </c>
      <c r="H15" s="352" t="s">
        <v>232</v>
      </c>
    </row>
    <row r="16" spans="2:8" x14ac:dyDescent="0.25">
      <c r="B16" s="353" t="s">
        <v>20</v>
      </c>
      <c r="C16" s="353" t="s">
        <v>56</v>
      </c>
      <c r="D16" s="354">
        <v>250</v>
      </c>
      <c r="E16" s="354">
        <f>'2022-2023 ACT'!T18</f>
        <v>0</v>
      </c>
      <c r="F16" s="357">
        <f t="shared" si="0"/>
        <v>250</v>
      </c>
      <c r="H16" s="352" t="s">
        <v>233</v>
      </c>
    </row>
    <row r="17" spans="2:8" x14ac:dyDescent="0.25">
      <c r="B17" s="353" t="s">
        <v>167</v>
      </c>
      <c r="C17" s="353" t="s">
        <v>21</v>
      </c>
      <c r="D17" s="354">
        <v>250</v>
      </c>
      <c r="E17" s="354">
        <f>'2022-2023 ACT'!W14</f>
        <v>0</v>
      </c>
      <c r="F17" s="357">
        <f t="shared" si="0"/>
        <v>250</v>
      </c>
      <c r="H17" s="352" t="s">
        <v>234</v>
      </c>
    </row>
    <row r="18" spans="2:8" x14ac:dyDescent="0.25">
      <c r="B18" s="353" t="s">
        <v>167</v>
      </c>
      <c r="C18" s="353" t="s">
        <v>6</v>
      </c>
      <c r="D18" s="354">
        <v>250</v>
      </c>
      <c r="E18" s="354">
        <v>149.51</v>
      </c>
      <c r="F18" s="357">
        <f t="shared" si="0"/>
        <v>100.49000000000001</v>
      </c>
      <c r="H18" s="352" t="s">
        <v>235</v>
      </c>
    </row>
    <row r="19" spans="2:8" x14ac:dyDescent="0.25">
      <c r="B19" s="353" t="s">
        <v>167</v>
      </c>
      <c r="C19" s="353" t="s">
        <v>14</v>
      </c>
      <c r="D19" s="354">
        <v>250</v>
      </c>
      <c r="E19" s="354">
        <f>'2022-2023 ACT'!W16</f>
        <v>0</v>
      </c>
      <c r="F19" s="357">
        <f t="shared" si="0"/>
        <v>250</v>
      </c>
      <c r="H19" s="352" t="s">
        <v>236</v>
      </c>
    </row>
    <row r="20" spans="2:8" x14ac:dyDescent="0.25">
      <c r="B20" s="353" t="s">
        <v>168</v>
      </c>
      <c r="C20" s="353" t="s">
        <v>48</v>
      </c>
      <c r="D20" s="354">
        <v>250</v>
      </c>
      <c r="E20" s="354">
        <f>62.29</f>
        <v>62.29</v>
      </c>
      <c r="F20" s="357">
        <f t="shared" si="0"/>
        <v>187.71</v>
      </c>
      <c r="H20" s="352" t="s">
        <v>237</v>
      </c>
    </row>
    <row r="21" spans="2:8" x14ac:dyDescent="0.25">
      <c r="B21" s="353" t="s">
        <v>22</v>
      </c>
      <c r="C21" s="353" t="s">
        <v>64</v>
      </c>
      <c r="D21" s="354">
        <v>250</v>
      </c>
      <c r="E21" s="354">
        <f>'2022-2023 ACT'!W10</f>
        <v>0</v>
      </c>
      <c r="F21" s="357">
        <f t="shared" si="0"/>
        <v>250</v>
      </c>
      <c r="H21" s="352" t="s">
        <v>238</v>
      </c>
    </row>
    <row r="22" spans="2:8" x14ac:dyDescent="0.25">
      <c r="B22" s="353" t="s">
        <v>22</v>
      </c>
      <c r="C22" s="353" t="s">
        <v>65</v>
      </c>
      <c r="D22" s="354">
        <v>250</v>
      </c>
      <c r="E22" s="354">
        <v>249.98</v>
      </c>
      <c r="F22" s="357">
        <f t="shared" si="0"/>
        <v>2.0000000000010232E-2</v>
      </c>
      <c r="H22" s="352" t="s">
        <v>239</v>
      </c>
    </row>
    <row r="23" spans="2:8" x14ac:dyDescent="0.25">
      <c r="B23" s="353" t="s">
        <v>5</v>
      </c>
      <c r="C23" s="353" t="s">
        <v>159</v>
      </c>
      <c r="D23" s="354">
        <v>250</v>
      </c>
      <c r="E23" s="354">
        <f>'2022-2023 ACT'!T6</f>
        <v>0</v>
      </c>
      <c r="F23" s="357">
        <f t="shared" si="0"/>
        <v>250</v>
      </c>
      <c r="H23" s="352" t="s">
        <v>240</v>
      </c>
    </row>
    <row r="24" spans="2:8" x14ac:dyDescent="0.25">
      <c r="B24" s="353" t="s">
        <v>5</v>
      </c>
      <c r="C24" s="353" t="s">
        <v>51</v>
      </c>
      <c r="D24" s="354">
        <v>250</v>
      </c>
      <c r="E24" s="354">
        <f>'2022-2023 ACT'!T8</f>
        <v>0</v>
      </c>
      <c r="F24" s="357">
        <f t="shared" si="0"/>
        <v>250</v>
      </c>
      <c r="H24" s="352" t="s">
        <v>250</v>
      </c>
    </row>
    <row r="25" spans="2:8" x14ac:dyDescent="0.25">
      <c r="B25" s="353" t="s">
        <v>5</v>
      </c>
      <c r="C25" s="353" t="s">
        <v>158</v>
      </c>
      <c r="D25" s="354">
        <v>250</v>
      </c>
      <c r="E25" s="354">
        <v>142.13999999999999</v>
      </c>
      <c r="F25" s="357">
        <f t="shared" si="0"/>
        <v>107.86000000000001</v>
      </c>
      <c r="H25" s="352" t="s">
        <v>241</v>
      </c>
    </row>
    <row r="26" spans="2:8" x14ac:dyDescent="0.25">
      <c r="B26" s="353" t="s">
        <v>170</v>
      </c>
      <c r="C26" s="353" t="s">
        <v>165</v>
      </c>
      <c r="D26" s="354">
        <v>250</v>
      </c>
      <c r="E26" s="354">
        <f>'2022-2023 ACT'!W18</f>
        <v>0</v>
      </c>
      <c r="F26" s="357">
        <f t="shared" si="0"/>
        <v>250</v>
      </c>
      <c r="H26" s="352" t="s">
        <v>242</v>
      </c>
    </row>
    <row r="27" spans="2:8" x14ac:dyDescent="0.25">
      <c r="B27" s="353" t="s">
        <v>170</v>
      </c>
      <c r="C27" s="353" t="s">
        <v>197</v>
      </c>
      <c r="D27" s="354">
        <v>250</v>
      </c>
      <c r="E27" s="354">
        <f>'2022-2023 ACT'!W17</f>
        <v>0</v>
      </c>
      <c r="F27" s="357">
        <f t="shared" si="0"/>
        <v>250</v>
      </c>
      <c r="H27" s="352" t="s">
        <v>251</v>
      </c>
    </row>
    <row r="28" spans="2:8" x14ac:dyDescent="0.25">
      <c r="B28" s="353" t="s">
        <v>37</v>
      </c>
      <c r="C28" s="353" t="s">
        <v>35</v>
      </c>
      <c r="D28" s="354">
        <v>250</v>
      </c>
      <c r="E28" s="354">
        <f>'2022-2023 ACT'!W7</f>
        <v>0</v>
      </c>
      <c r="F28" s="357">
        <f t="shared" si="0"/>
        <v>250</v>
      </c>
      <c r="H28" s="352" t="s">
        <v>252</v>
      </c>
    </row>
    <row r="29" spans="2:8" x14ac:dyDescent="0.25">
      <c r="B29" s="353" t="s">
        <v>24</v>
      </c>
      <c r="C29" s="353" t="s">
        <v>50</v>
      </c>
      <c r="D29" s="354">
        <v>250</v>
      </c>
      <c r="E29" s="354">
        <f>'2022-2023 ACT'!W5</f>
        <v>0</v>
      </c>
      <c r="F29" s="357">
        <f t="shared" si="0"/>
        <v>250</v>
      </c>
      <c r="H29" s="352" t="s">
        <v>253</v>
      </c>
    </row>
    <row r="30" spans="2:8" x14ac:dyDescent="0.25">
      <c r="B30" s="353" t="s">
        <v>38</v>
      </c>
      <c r="C30" s="353" t="s">
        <v>16</v>
      </c>
      <c r="D30" s="354">
        <v>250</v>
      </c>
      <c r="E30" s="354">
        <f>'2022-2023 ACT'!W6</f>
        <v>0</v>
      </c>
      <c r="F30" s="357">
        <f t="shared" si="0"/>
        <v>250</v>
      </c>
      <c r="H30" s="352" t="s">
        <v>243</v>
      </c>
    </row>
    <row r="31" spans="2:8" x14ac:dyDescent="0.25">
      <c r="B31" s="353" t="s">
        <v>160</v>
      </c>
      <c r="C31" s="353" t="s">
        <v>161</v>
      </c>
      <c r="D31" s="354">
        <v>250</v>
      </c>
      <c r="E31" s="354">
        <f>'2022-2023 ACT'!T5</f>
        <v>0</v>
      </c>
      <c r="F31" s="357">
        <f t="shared" si="0"/>
        <v>250</v>
      </c>
      <c r="H31" s="352" t="s">
        <v>244</v>
      </c>
    </row>
    <row r="32" spans="2:8" x14ac:dyDescent="0.25">
      <c r="B32" s="353" t="s">
        <v>49</v>
      </c>
      <c r="C32" s="353" t="s">
        <v>8</v>
      </c>
      <c r="D32" s="354">
        <v>250</v>
      </c>
      <c r="E32" s="354">
        <f>'2022-2023 ACT'!W20</f>
        <v>0</v>
      </c>
      <c r="F32" s="357">
        <f t="shared" si="0"/>
        <v>250</v>
      </c>
      <c r="H32" s="352" t="s">
        <v>245</v>
      </c>
    </row>
    <row r="33" spans="2:8" x14ac:dyDescent="0.25">
      <c r="B33" s="353" t="s">
        <v>163</v>
      </c>
      <c r="C33" s="353" t="s">
        <v>164</v>
      </c>
      <c r="D33" s="354">
        <v>250</v>
      </c>
      <c r="E33" s="354">
        <f>20.74+80.66</f>
        <v>101.39999999999999</v>
      </c>
      <c r="F33" s="357">
        <f t="shared" si="0"/>
        <v>148.60000000000002</v>
      </c>
      <c r="H33" s="352" t="s">
        <v>254</v>
      </c>
    </row>
    <row r="34" spans="2:8" x14ac:dyDescent="0.25">
      <c r="B34" s="353" t="s">
        <v>40</v>
      </c>
      <c r="C34" s="353" t="s">
        <v>166</v>
      </c>
      <c r="D34" s="354">
        <v>250</v>
      </c>
      <c r="E34" s="354">
        <f>'2022-2023 ACT'!W19</f>
        <v>0</v>
      </c>
      <c r="F34" s="357">
        <f t="shared" si="0"/>
        <v>250</v>
      </c>
      <c r="H34" s="352" t="s">
        <v>255</v>
      </c>
    </row>
    <row r="35" spans="2:8" x14ac:dyDescent="0.25">
      <c r="B35" s="353" t="s">
        <v>60</v>
      </c>
      <c r="C35" s="353" t="s">
        <v>66</v>
      </c>
      <c r="D35" s="354">
        <v>250</v>
      </c>
      <c r="E35" s="354">
        <f>19.48</f>
        <v>19.48</v>
      </c>
      <c r="F35" s="357">
        <f t="shared" si="0"/>
        <v>230.52</v>
      </c>
      <c r="H35" s="352" t="s">
        <v>256</v>
      </c>
    </row>
    <row r="36" spans="2:8" x14ac:dyDescent="0.25">
      <c r="B36" s="353" t="s">
        <v>42</v>
      </c>
      <c r="C36" s="353" t="s">
        <v>162</v>
      </c>
      <c r="D36" s="354">
        <v>500</v>
      </c>
      <c r="E36" s="354">
        <f>152.48+175.93</f>
        <v>328.40999999999997</v>
      </c>
      <c r="F36" s="357">
        <f>D36-E36</f>
        <v>171.59000000000003</v>
      </c>
      <c r="H36" s="352" t="s">
        <v>257</v>
      </c>
    </row>
    <row r="37" spans="2:8" ht="15.75" thickBot="1" x14ac:dyDescent="0.3"/>
    <row r="38" spans="2:8" ht="15.75" thickBot="1" x14ac:dyDescent="0.3">
      <c r="D38" s="389">
        <f>SUM(D4:D36)</f>
        <v>8500</v>
      </c>
      <c r="E38" s="390">
        <f>SUM(E4:E36)</f>
        <v>1752.04</v>
      </c>
      <c r="F38" s="391">
        <f>SUM(F4:F36)</f>
        <v>6747.9600000000009</v>
      </c>
    </row>
  </sheetData>
  <autoFilter ref="B3:F36" xr:uid="{D979428D-A8CC-4A80-AF8A-B1A60265947D}">
    <sortState xmlns:xlrd2="http://schemas.microsoft.com/office/spreadsheetml/2017/richdata2" ref="B4:F36">
      <sortCondition ref="B3:B36"/>
    </sortState>
  </autoFilter>
  <phoneticPr fontId="23" type="noConversion"/>
  <hyperlinks>
    <hyperlink ref="H7" r:id="rId1" xr:uid="{D57F071A-FDC8-4F4F-A4FA-D0EBBB799377}"/>
    <hyperlink ref="H8" r:id="rId2" xr:uid="{2F2C3D6C-A101-45F2-B102-031759029ED1}"/>
    <hyperlink ref="H10" r:id="rId3" xr:uid="{FE7FA21D-5E55-4A55-8D15-2D9E8D371B91}"/>
    <hyperlink ref="H12" r:id="rId4" xr:uid="{3DC249BF-9E6E-446D-9A3B-7BDCAFBB7B7F}"/>
    <hyperlink ref="H13" r:id="rId5" xr:uid="{CE046409-44DB-4E12-AFAF-D334F983CF2A}"/>
    <hyperlink ref="H15" r:id="rId6" xr:uid="{15837EF7-0752-4D8F-9E5D-4D3C8073CA16}"/>
    <hyperlink ref="H16" r:id="rId7" xr:uid="{C303CD1E-DB69-4113-A97C-8802BA9BE529}"/>
    <hyperlink ref="H17" r:id="rId8" xr:uid="{F9818403-0C1C-4E02-B5C8-AE4AFC32F00A}"/>
    <hyperlink ref="H18" r:id="rId9" xr:uid="{2835077A-1273-453B-B004-FCEDCFE39D01}"/>
    <hyperlink ref="H19" r:id="rId10" xr:uid="{8B21E0FA-C9FC-47C0-A09C-643223C2A939}"/>
    <hyperlink ref="H20" r:id="rId11" xr:uid="{660D2333-106C-4C0C-A8EA-09830B4A1D6C}"/>
    <hyperlink ref="H21" r:id="rId12" xr:uid="{72E40D94-37BB-499C-9FB0-4EFF2E3D7F01}"/>
    <hyperlink ref="H22" r:id="rId13" xr:uid="{B95789E7-FB51-4EB7-9B66-97A5A1791463}"/>
    <hyperlink ref="H23" r:id="rId14" xr:uid="{A5CBB301-C4CF-42C7-801A-931B8196FC0B}"/>
    <hyperlink ref="H25" r:id="rId15" xr:uid="{300CFAEE-30F1-4A35-8DD6-3E0A6A79D445}"/>
    <hyperlink ref="H26" r:id="rId16" xr:uid="{74F65114-8F0C-4668-A73A-5DDAA9080DF8}"/>
    <hyperlink ref="H30" r:id="rId17" xr:uid="{93A70245-EEE0-47AB-A69E-4752534FE8F9}"/>
    <hyperlink ref="H31" r:id="rId18" xr:uid="{7D4F6567-11DA-4C36-B725-808050E6CF74}"/>
    <hyperlink ref="H32" r:id="rId19" xr:uid="{E2C42BE4-BE3F-4C5C-A2EE-0D7FC2F5F95C}"/>
    <hyperlink ref="H4" r:id="rId20" xr:uid="{DF1B02B1-0952-412B-AA9B-244D00C3F538}"/>
    <hyperlink ref="H5" r:id="rId21" xr:uid="{97A5608B-FB3F-4D19-A504-4471DB42D814}"/>
    <hyperlink ref="H6" r:id="rId22" xr:uid="{FF0ECB91-928A-43E9-8448-14112EE60594}"/>
    <hyperlink ref="H11" r:id="rId23" xr:uid="{3B4D8BBE-D8D5-47D4-ADAA-67783770E4E0}"/>
    <hyperlink ref="H24" r:id="rId24" xr:uid="{B27C5C35-33C6-4DEA-8BFC-17E400DD3CF5}"/>
    <hyperlink ref="H27" r:id="rId25" xr:uid="{5436E038-8375-4DE5-875B-9AF3ABEB08D9}"/>
    <hyperlink ref="H28" r:id="rId26" xr:uid="{B4A5E722-E1AB-4E10-93E0-BEF31EAC78F9}"/>
    <hyperlink ref="H29" r:id="rId27" xr:uid="{378E6051-864E-40AD-8105-E373FCA702FA}"/>
    <hyperlink ref="H33" r:id="rId28" xr:uid="{B83E6888-DFBD-4BD1-A592-8B93BB8BD6A8}"/>
    <hyperlink ref="H34" r:id="rId29" xr:uid="{C9D5C65D-5D4C-4741-AD53-ECB438153886}"/>
    <hyperlink ref="H35" r:id="rId30" xr:uid="{72C7B824-3A47-4750-809B-6DB966CCC5EC}"/>
    <hyperlink ref="H36" r:id="rId31" xr:uid="{C9074AA0-694F-44BC-8011-3AA40C9DFF8A}"/>
    <hyperlink ref="H14" r:id="rId32" xr:uid="{F0D8BA59-251B-44E5-AFB2-E519ED38CEE5}"/>
  </hyperlinks>
  <pageMargins left="0.7" right="0.7" top="0.75" bottom="0.75" header="0.3" footer="0.3"/>
  <pageSetup orientation="portrait" r:id="rId33"/>
  <drawing r:id="rId3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80039-CEA9-4E45-8D95-BF7B3CFFEC79}">
  <dimension ref="A1:J88"/>
  <sheetViews>
    <sheetView zoomScaleNormal="100" workbookViewId="0">
      <selection activeCell="C4" sqref="C4"/>
    </sheetView>
  </sheetViews>
  <sheetFormatPr defaultColWidth="8.85546875" defaultRowHeight="15" outlineLevelRow="1" x14ac:dyDescent="0.25"/>
  <cols>
    <col min="1" max="11" width="8.85546875" style="325"/>
    <col min="12" max="12" width="3.7109375" style="325" customWidth="1"/>
    <col min="13" max="19" width="8.85546875" style="325"/>
    <col min="20" max="20" width="9.42578125" style="325" customWidth="1"/>
    <col min="21" max="16384" width="8.85546875" style="325"/>
  </cols>
  <sheetData>
    <row r="1" spans="1:10" ht="18.75" x14ac:dyDescent="0.25">
      <c r="A1" s="324" t="s">
        <v>172</v>
      </c>
    </row>
    <row r="2" spans="1:10" ht="18.75" x14ac:dyDescent="0.25">
      <c r="A2" s="326"/>
    </row>
    <row r="3" spans="1:10" ht="15.75" x14ac:dyDescent="0.25">
      <c r="A3" s="327" t="s">
        <v>173</v>
      </c>
    </row>
    <row r="4" spans="1:10" x14ac:dyDescent="0.25">
      <c r="A4" s="328" t="s">
        <v>174</v>
      </c>
    </row>
    <row r="5" spans="1:10" ht="29.45" customHeight="1" x14ac:dyDescent="0.25">
      <c r="A5" s="410" t="s">
        <v>175</v>
      </c>
      <c r="B5" s="410"/>
      <c r="C5" s="410"/>
      <c r="D5" s="410"/>
      <c r="E5" s="410"/>
      <c r="F5" s="410"/>
      <c r="G5" s="410"/>
      <c r="H5" s="410"/>
      <c r="I5" s="410"/>
      <c r="J5" s="410"/>
    </row>
    <row r="6" spans="1:10" x14ac:dyDescent="0.25">
      <c r="A6" s="328" t="s">
        <v>176</v>
      </c>
    </row>
    <row r="7" spans="1:10" x14ac:dyDescent="0.25">
      <c r="A7" s="329" t="s">
        <v>177</v>
      </c>
    </row>
    <row r="8" spans="1:10" x14ac:dyDescent="0.25">
      <c r="A8" s="411" t="s">
        <v>183</v>
      </c>
      <c r="B8" s="411"/>
      <c r="C8" s="411"/>
      <c r="D8" s="411"/>
      <c r="E8" s="411"/>
      <c r="F8" s="411"/>
      <c r="G8" s="411"/>
      <c r="H8" s="411"/>
      <c r="I8" s="411"/>
      <c r="J8" s="411"/>
    </row>
    <row r="9" spans="1:10" x14ac:dyDescent="0.25">
      <c r="A9" s="411"/>
      <c r="B9" s="411"/>
      <c r="C9" s="411"/>
      <c r="D9" s="411"/>
      <c r="E9" s="411"/>
      <c r="F9" s="411"/>
      <c r="G9" s="411"/>
      <c r="H9" s="411"/>
      <c r="I9" s="411"/>
      <c r="J9" s="411"/>
    </row>
    <row r="10" spans="1:10" x14ac:dyDescent="0.25">
      <c r="A10" s="330" t="s">
        <v>188</v>
      </c>
    </row>
    <row r="11" spans="1:10" x14ac:dyDescent="0.25">
      <c r="A11" s="330"/>
    </row>
    <row r="12" spans="1:10" ht="15.75" x14ac:dyDescent="0.25">
      <c r="A12" s="327" t="s">
        <v>73</v>
      </c>
    </row>
    <row r="13" spans="1:10" x14ac:dyDescent="0.25">
      <c r="A13" s="328" t="s">
        <v>179</v>
      </c>
    </row>
    <row r="14" spans="1:10" x14ac:dyDescent="0.25">
      <c r="A14" s="328" t="s">
        <v>180</v>
      </c>
    </row>
    <row r="15" spans="1:10" x14ac:dyDescent="0.25">
      <c r="A15" s="329" t="s">
        <v>181</v>
      </c>
    </row>
    <row r="16" spans="1:10" ht="42" customHeight="1" x14ac:dyDescent="0.25">
      <c r="A16" s="409" t="s">
        <v>182</v>
      </c>
      <c r="B16" s="409"/>
      <c r="C16" s="409"/>
      <c r="D16" s="409"/>
      <c r="E16" s="409"/>
      <c r="F16" s="409"/>
      <c r="G16" s="409"/>
      <c r="H16" s="409"/>
      <c r="I16" s="409"/>
      <c r="J16" s="409"/>
    </row>
    <row r="17" spans="1:10" x14ac:dyDescent="0.25">
      <c r="A17" s="412" t="s">
        <v>195</v>
      </c>
      <c r="B17" s="412"/>
      <c r="C17" s="412"/>
      <c r="D17" s="412"/>
      <c r="E17" s="412"/>
      <c r="F17" s="412"/>
      <c r="G17" s="412"/>
      <c r="H17" s="412"/>
      <c r="I17" s="412"/>
      <c r="J17" s="412"/>
    </row>
    <row r="18" spans="1:10" x14ac:dyDescent="0.25">
      <c r="A18" s="412"/>
      <c r="B18" s="412"/>
      <c r="C18" s="412"/>
      <c r="D18" s="412"/>
      <c r="E18" s="412"/>
      <c r="F18" s="412"/>
      <c r="G18" s="412"/>
      <c r="H18" s="412"/>
      <c r="I18" s="412"/>
      <c r="J18" s="412"/>
    </row>
    <row r="19" spans="1:10" x14ac:dyDescent="0.25">
      <c r="A19" s="331"/>
      <c r="B19" s="331"/>
      <c r="C19" s="331"/>
      <c r="D19" s="331"/>
      <c r="E19" s="331"/>
      <c r="F19" s="331"/>
      <c r="G19" s="331"/>
      <c r="H19" s="331"/>
      <c r="I19" s="331"/>
      <c r="J19" s="331"/>
    </row>
    <row r="20" spans="1:10" x14ac:dyDescent="0.25">
      <c r="A20" s="332" t="s">
        <v>189</v>
      </c>
      <c r="B20" s="331"/>
      <c r="C20" s="331"/>
      <c r="D20" s="331"/>
      <c r="E20" s="331"/>
      <c r="F20" s="331"/>
      <c r="G20" s="331"/>
      <c r="H20" s="331"/>
      <c r="I20" s="331"/>
      <c r="J20" s="331"/>
    </row>
    <row r="21" spans="1:10" x14ac:dyDescent="0.25">
      <c r="A21" s="409" t="s">
        <v>190</v>
      </c>
      <c r="B21" s="409"/>
      <c r="C21" s="409"/>
      <c r="D21" s="409"/>
      <c r="E21" s="409"/>
      <c r="F21" s="409"/>
      <c r="G21" s="409"/>
      <c r="H21" s="409"/>
      <c r="I21" s="409"/>
      <c r="J21" s="409"/>
    </row>
    <row r="22" spans="1:10" x14ac:dyDescent="0.25">
      <c r="A22" s="409"/>
      <c r="B22" s="409"/>
      <c r="C22" s="409"/>
      <c r="D22" s="409"/>
      <c r="E22" s="409"/>
      <c r="F22" s="409"/>
      <c r="G22" s="409"/>
      <c r="H22" s="409"/>
      <c r="I22" s="409"/>
      <c r="J22" s="409"/>
    </row>
    <row r="23" spans="1:10" x14ac:dyDescent="0.25">
      <c r="A23" s="413" t="s">
        <v>196</v>
      </c>
      <c r="B23" s="413"/>
      <c r="C23" s="413"/>
      <c r="D23" s="413"/>
      <c r="E23" s="413"/>
      <c r="F23" s="413"/>
      <c r="G23" s="413"/>
      <c r="H23" s="413"/>
      <c r="I23" s="413"/>
      <c r="J23" s="413"/>
    </row>
    <row r="24" spans="1:10" x14ac:dyDescent="0.25">
      <c r="A24" s="413"/>
      <c r="B24" s="413"/>
      <c r="C24" s="413"/>
      <c r="D24" s="413"/>
      <c r="E24" s="413"/>
      <c r="F24" s="413"/>
      <c r="G24" s="413"/>
      <c r="H24" s="413"/>
      <c r="I24" s="413"/>
      <c r="J24" s="413"/>
    </row>
    <row r="25" spans="1:10" ht="14.45" customHeight="1" x14ac:dyDescent="0.25">
      <c r="A25" s="326"/>
      <c r="B25" s="347"/>
      <c r="C25" s="347"/>
      <c r="D25" s="347"/>
      <c r="E25" s="347"/>
      <c r="F25" s="347"/>
      <c r="G25" s="347"/>
      <c r="H25" s="347"/>
      <c r="I25" s="347"/>
      <c r="J25" s="347"/>
    </row>
    <row r="26" spans="1:10" ht="14.45" customHeight="1" x14ac:dyDescent="0.25">
      <c r="A26" s="326" t="s">
        <v>178</v>
      </c>
      <c r="B26" s="333"/>
      <c r="C26" s="333"/>
      <c r="D26" s="333"/>
      <c r="E26" s="333"/>
      <c r="F26" s="333"/>
      <c r="G26" s="333"/>
      <c r="H26" s="333"/>
      <c r="I26" s="333"/>
      <c r="J26" s="333"/>
    </row>
    <row r="27" spans="1:10" ht="31.15" hidden="1" customHeight="1" outlineLevel="1" x14ac:dyDescent="0.25">
      <c r="A27" s="332" t="s">
        <v>184</v>
      </c>
    </row>
    <row r="28" spans="1:10" hidden="1" outlineLevel="1" x14ac:dyDescent="0.25">
      <c r="A28" s="328" t="s">
        <v>185</v>
      </c>
      <c r="B28" s="328"/>
      <c r="C28" s="328"/>
      <c r="D28" s="328"/>
      <c r="E28" s="328"/>
      <c r="F28" s="328"/>
      <c r="G28" s="328"/>
      <c r="H28" s="328"/>
      <c r="I28" s="328"/>
      <c r="J28" s="328"/>
    </row>
    <row r="29" spans="1:10" hidden="1" outlineLevel="1" x14ac:dyDescent="0.25">
      <c r="A29" s="328" t="s">
        <v>186</v>
      </c>
    </row>
    <row r="30" spans="1:10" hidden="1" outlineLevel="1" x14ac:dyDescent="0.25">
      <c r="A30" s="328" t="s">
        <v>187</v>
      </c>
    </row>
    <row r="31" spans="1:10" hidden="1" outlineLevel="1" x14ac:dyDescent="0.25"/>
    <row r="32" spans="1:10" hidden="1" outlineLevel="1" x14ac:dyDescent="0.25">
      <c r="A32" s="340" t="s">
        <v>191</v>
      </c>
    </row>
    <row r="33" spans="1:9" hidden="1" outlineLevel="1" x14ac:dyDescent="0.25">
      <c r="A33" s="328" t="s">
        <v>192</v>
      </c>
    </row>
    <row r="34" spans="1:9" hidden="1" outlineLevel="1" x14ac:dyDescent="0.25">
      <c r="A34" s="328" t="s">
        <v>193</v>
      </c>
    </row>
    <row r="35" spans="1:9" hidden="1" outlineLevel="1" x14ac:dyDescent="0.25">
      <c r="A35" s="328" t="s">
        <v>194</v>
      </c>
    </row>
    <row r="36" spans="1:9" hidden="1" outlineLevel="1" x14ac:dyDescent="0.25"/>
    <row r="37" spans="1:9" hidden="1" outlineLevel="1" x14ac:dyDescent="0.25">
      <c r="A37" s="340" t="s">
        <v>198</v>
      </c>
    </row>
    <row r="38" spans="1:9" hidden="1" outlineLevel="1" x14ac:dyDescent="0.25">
      <c r="A38" s="328" t="s">
        <v>199</v>
      </c>
    </row>
    <row r="39" spans="1:9" hidden="1" outlineLevel="1" x14ac:dyDescent="0.25">
      <c r="A39" s="328" t="s">
        <v>200</v>
      </c>
    </row>
    <row r="40" spans="1:9" hidden="1" outlineLevel="1" x14ac:dyDescent="0.25">
      <c r="A40" s="328" t="s">
        <v>201</v>
      </c>
    </row>
    <row r="41" spans="1:9" hidden="1" outlineLevel="1" x14ac:dyDescent="0.25"/>
    <row r="42" spans="1:9" hidden="1" outlineLevel="1" x14ac:dyDescent="0.25">
      <c r="A42" s="340" t="s">
        <v>202</v>
      </c>
    </row>
    <row r="43" spans="1:9" hidden="1" outlineLevel="1" x14ac:dyDescent="0.25">
      <c r="A43" s="328" t="s">
        <v>203</v>
      </c>
    </row>
    <row r="44" spans="1:9" hidden="1" outlineLevel="1" x14ac:dyDescent="0.25">
      <c r="A44" s="409" t="s">
        <v>205</v>
      </c>
      <c r="B44" s="409"/>
      <c r="C44" s="409"/>
      <c r="D44" s="409"/>
      <c r="E44" s="409"/>
      <c r="F44" s="409"/>
      <c r="G44" s="409"/>
      <c r="H44" s="409"/>
      <c r="I44" s="409"/>
    </row>
    <row r="45" spans="1:9" hidden="1" outlineLevel="1" x14ac:dyDescent="0.25">
      <c r="A45" s="409"/>
      <c r="B45" s="409"/>
      <c r="C45" s="409"/>
      <c r="D45" s="409"/>
      <c r="E45" s="409"/>
      <c r="F45" s="409"/>
      <c r="G45" s="409"/>
      <c r="H45" s="409"/>
      <c r="I45" s="409"/>
    </row>
    <row r="46" spans="1:9" hidden="1" outlineLevel="1" x14ac:dyDescent="0.25">
      <c r="A46" s="328" t="s">
        <v>204</v>
      </c>
    </row>
    <row r="47" spans="1:9" hidden="1" outlineLevel="1" x14ac:dyDescent="0.25"/>
    <row r="48" spans="1:9" hidden="1" outlineLevel="1" x14ac:dyDescent="0.25">
      <c r="A48" s="340" t="s">
        <v>206</v>
      </c>
    </row>
    <row r="49" spans="1:9" hidden="1" outlineLevel="1" x14ac:dyDescent="0.25">
      <c r="A49" s="328" t="s">
        <v>203</v>
      </c>
      <c r="B49" s="325" t="s">
        <v>207</v>
      </c>
    </row>
    <row r="50" spans="1:9" hidden="1" outlineLevel="1" x14ac:dyDescent="0.25">
      <c r="A50" s="409" t="s">
        <v>208</v>
      </c>
      <c r="B50" s="409"/>
      <c r="C50" s="409"/>
      <c r="D50" s="409"/>
      <c r="E50" s="409"/>
      <c r="F50" s="409"/>
      <c r="G50" s="409"/>
      <c r="H50" s="409"/>
      <c r="I50" s="409"/>
    </row>
    <row r="51" spans="1:9" ht="31.15" hidden="1" customHeight="1" outlineLevel="1" x14ac:dyDescent="0.25">
      <c r="A51" s="409" t="s">
        <v>209</v>
      </c>
      <c r="B51" s="409"/>
      <c r="C51" s="409"/>
      <c r="D51" s="409"/>
      <c r="E51" s="409"/>
      <c r="F51" s="409"/>
      <c r="G51" s="409"/>
      <c r="H51" s="409"/>
      <c r="I51" s="409"/>
    </row>
    <row r="52" spans="1:9" ht="15" hidden="1" customHeight="1" outlineLevel="1" x14ac:dyDescent="0.25">
      <c r="A52" s="409"/>
      <c r="B52" s="409"/>
      <c r="C52" s="409"/>
      <c r="D52" s="409"/>
      <c r="E52" s="409"/>
      <c r="F52" s="409"/>
      <c r="G52" s="409"/>
      <c r="H52" s="409"/>
      <c r="I52" s="409"/>
    </row>
    <row r="53" spans="1:9" hidden="1" outlineLevel="1" x14ac:dyDescent="0.25"/>
    <row r="54" spans="1:9" hidden="1" outlineLevel="1" x14ac:dyDescent="0.25">
      <c r="A54" s="340" t="s">
        <v>211</v>
      </c>
    </row>
    <row r="55" spans="1:9" hidden="1" outlineLevel="1" x14ac:dyDescent="0.25">
      <c r="A55" s="409" t="s">
        <v>215</v>
      </c>
      <c r="B55" s="409"/>
      <c r="C55" s="409"/>
      <c r="D55" s="409"/>
      <c r="E55" s="409"/>
      <c r="F55" s="409"/>
      <c r="G55" s="409"/>
      <c r="H55" s="409"/>
      <c r="I55" s="409"/>
    </row>
    <row r="56" spans="1:9" hidden="1" outlineLevel="1" x14ac:dyDescent="0.25">
      <c r="A56" s="409" t="s">
        <v>212</v>
      </c>
      <c r="B56" s="409"/>
      <c r="C56" s="409"/>
      <c r="D56" s="409"/>
      <c r="E56" s="409"/>
      <c r="F56" s="409"/>
      <c r="G56" s="409"/>
      <c r="H56" s="409"/>
      <c r="I56" s="409"/>
    </row>
    <row r="57" spans="1:9" ht="14.45" hidden="1" customHeight="1" outlineLevel="1" x14ac:dyDescent="0.25">
      <c r="A57" s="409" t="s">
        <v>213</v>
      </c>
      <c r="B57" s="409"/>
      <c r="C57" s="409"/>
      <c r="D57" s="409"/>
      <c r="E57" s="409"/>
      <c r="F57" s="409"/>
      <c r="G57" s="409"/>
      <c r="H57" s="409"/>
      <c r="I57" s="409"/>
    </row>
    <row r="58" spans="1:9" ht="31.9" hidden="1" customHeight="1" outlineLevel="1" x14ac:dyDescent="0.25">
      <c r="A58" s="409"/>
      <c r="B58" s="409"/>
      <c r="C58" s="409"/>
      <c r="D58" s="409"/>
      <c r="E58" s="409"/>
      <c r="F58" s="409"/>
      <c r="G58" s="409"/>
      <c r="H58" s="409"/>
      <c r="I58" s="409"/>
    </row>
    <row r="59" spans="1:9" hidden="1" outlineLevel="1" x14ac:dyDescent="0.25">
      <c r="A59" s="409" t="s">
        <v>214</v>
      </c>
      <c r="B59" s="409"/>
      <c r="C59" s="409"/>
      <c r="D59" s="409"/>
      <c r="E59" s="409"/>
      <c r="F59" s="409"/>
      <c r="G59" s="409"/>
      <c r="H59" s="409"/>
      <c r="I59" s="409"/>
    </row>
    <row r="60" spans="1:9" hidden="1" outlineLevel="1" x14ac:dyDescent="0.25">
      <c r="A60" s="409"/>
      <c r="B60" s="409"/>
      <c r="C60" s="409"/>
      <c r="D60" s="409"/>
      <c r="E60" s="409"/>
      <c r="F60" s="409"/>
      <c r="G60" s="409"/>
      <c r="H60" s="409"/>
      <c r="I60" s="409"/>
    </row>
    <row r="61" spans="1:9" hidden="1" outlineLevel="1" x14ac:dyDescent="0.25"/>
    <row r="62" spans="1:9" hidden="1" outlineLevel="1" x14ac:dyDescent="0.25">
      <c r="A62" s="340" t="s">
        <v>219</v>
      </c>
    </row>
    <row r="63" spans="1:9" hidden="1" outlineLevel="1" x14ac:dyDescent="0.25">
      <c r="A63" s="409" t="s">
        <v>220</v>
      </c>
      <c r="B63" s="409"/>
      <c r="C63" s="409"/>
      <c r="D63" s="409"/>
      <c r="E63" s="409"/>
      <c r="F63" s="409"/>
      <c r="G63" s="409"/>
      <c r="H63" s="409"/>
      <c r="I63" s="409"/>
    </row>
    <row r="64" spans="1:9" hidden="1" outlineLevel="1" x14ac:dyDescent="0.25">
      <c r="A64" s="409" t="s">
        <v>221</v>
      </c>
      <c r="B64" s="409"/>
      <c r="C64" s="409"/>
      <c r="D64" s="409"/>
      <c r="E64" s="409"/>
      <c r="F64" s="409"/>
      <c r="G64" s="409"/>
      <c r="H64" s="409"/>
      <c r="I64" s="409"/>
    </row>
    <row r="65" spans="1:9" hidden="1" outlineLevel="1" x14ac:dyDescent="0.25">
      <c r="A65" s="409"/>
      <c r="B65" s="409"/>
      <c r="C65" s="409"/>
      <c r="D65" s="409"/>
      <c r="E65" s="409"/>
      <c r="F65" s="409"/>
      <c r="G65" s="409"/>
      <c r="H65" s="409"/>
      <c r="I65" s="409"/>
    </row>
    <row r="66" spans="1:9" hidden="1" outlineLevel="1" x14ac:dyDescent="0.25">
      <c r="A66" s="409" t="s">
        <v>213</v>
      </c>
      <c r="B66" s="409"/>
      <c r="C66" s="409"/>
      <c r="D66" s="409"/>
      <c r="E66" s="409"/>
      <c r="F66" s="409"/>
      <c r="G66" s="409"/>
      <c r="H66" s="409"/>
      <c r="I66" s="409"/>
    </row>
    <row r="67" spans="1:9" hidden="1" outlineLevel="1" x14ac:dyDescent="0.25">
      <c r="A67" s="409"/>
      <c r="B67" s="409"/>
      <c r="C67" s="409"/>
      <c r="D67" s="409"/>
      <c r="E67" s="409"/>
      <c r="F67" s="409"/>
      <c r="G67" s="409"/>
      <c r="H67" s="409"/>
      <c r="I67" s="409"/>
    </row>
    <row r="68" spans="1:9" hidden="1" outlineLevel="1" x14ac:dyDescent="0.25">
      <c r="A68" s="409" t="s">
        <v>222</v>
      </c>
      <c r="B68" s="409"/>
      <c r="C68" s="409"/>
      <c r="D68" s="409"/>
      <c r="E68" s="409"/>
      <c r="F68" s="409"/>
      <c r="G68" s="409"/>
      <c r="H68" s="409"/>
      <c r="I68" s="409"/>
    </row>
    <row r="69" spans="1:9" hidden="1" outlineLevel="1" x14ac:dyDescent="0.25">
      <c r="A69" s="409"/>
      <c r="B69" s="409"/>
      <c r="C69" s="409"/>
      <c r="D69" s="409"/>
      <c r="E69" s="409"/>
      <c r="F69" s="409"/>
      <c r="G69" s="409"/>
      <c r="H69" s="409"/>
      <c r="I69" s="409"/>
    </row>
    <row r="70" spans="1:9" hidden="1" outlineLevel="1" x14ac:dyDescent="0.25"/>
    <row r="71" spans="1:9" hidden="1" outlineLevel="1" collapsed="1" x14ac:dyDescent="0.25">
      <c r="A71" s="334" t="s">
        <v>258</v>
      </c>
      <c r="B71" s="335"/>
      <c r="C71" s="335"/>
      <c r="D71" s="335"/>
      <c r="E71" s="335"/>
      <c r="F71" s="335"/>
      <c r="G71" s="335"/>
      <c r="H71" s="335"/>
      <c r="I71" s="335"/>
    </row>
    <row r="72" spans="1:9" ht="42" hidden="1" customHeight="1" outlineLevel="1" x14ac:dyDescent="0.25">
      <c r="A72" s="414" t="s">
        <v>259</v>
      </c>
      <c r="B72" s="414"/>
      <c r="C72" s="414"/>
      <c r="D72" s="414"/>
      <c r="E72" s="414"/>
      <c r="F72" s="414"/>
      <c r="G72" s="414"/>
      <c r="H72" s="414"/>
      <c r="I72" s="414"/>
    </row>
    <row r="73" spans="1:9" hidden="1" outlineLevel="1" x14ac:dyDescent="0.25">
      <c r="A73" s="414" t="s">
        <v>260</v>
      </c>
      <c r="B73" s="414"/>
      <c r="C73" s="414"/>
      <c r="D73" s="414"/>
      <c r="E73" s="414"/>
      <c r="F73" s="414"/>
      <c r="G73" s="414"/>
      <c r="H73" s="414"/>
      <c r="I73" s="414"/>
    </row>
    <row r="74" spans="1:9" hidden="1" outlineLevel="1" x14ac:dyDescent="0.25">
      <c r="A74" s="414"/>
      <c r="B74" s="414"/>
      <c r="C74" s="414"/>
      <c r="D74" s="414"/>
      <c r="E74" s="414"/>
      <c r="F74" s="414"/>
      <c r="G74" s="414"/>
      <c r="H74" s="414"/>
      <c r="I74" s="414"/>
    </row>
    <row r="75" spans="1:9" hidden="1" outlineLevel="1" x14ac:dyDescent="0.25">
      <c r="A75" s="414" t="s">
        <v>261</v>
      </c>
      <c r="B75" s="414"/>
      <c r="C75" s="414"/>
      <c r="D75" s="414"/>
      <c r="E75" s="414"/>
      <c r="F75" s="414"/>
      <c r="G75" s="414"/>
      <c r="H75" s="414"/>
      <c r="I75" s="414"/>
    </row>
    <row r="76" spans="1:9" hidden="1" outlineLevel="1" collapsed="1" x14ac:dyDescent="0.25"/>
    <row r="77" spans="1:9" hidden="1" outlineLevel="1" x14ac:dyDescent="0.25">
      <c r="A77" s="340" t="s">
        <v>264</v>
      </c>
    </row>
    <row r="78" spans="1:9" hidden="1" outlineLevel="1" x14ac:dyDescent="0.25">
      <c r="A78" s="409" t="s">
        <v>265</v>
      </c>
      <c r="B78" s="409"/>
      <c r="C78" s="409"/>
      <c r="D78" s="409"/>
      <c r="E78" s="409"/>
      <c r="F78" s="409"/>
      <c r="G78" s="409"/>
      <c r="H78" s="409"/>
      <c r="I78" s="409"/>
    </row>
    <row r="79" spans="1:9" hidden="1" outlineLevel="1" x14ac:dyDescent="0.25">
      <c r="A79" s="409" t="s">
        <v>266</v>
      </c>
      <c r="B79" s="409"/>
      <c r="C79" s="409"/>
      <c r="D79" s="409"/>
      <c r="E79" s="409"/>
      <c r="F79" s="409"/>
      <c r="G79" s="409"/>
      <c r="H79" s="409"/>
      <c r="I79" s="409"/>
    </row>
    <row r="80" spans="1:9" hidden="1" outlineLevel="1" x14ac:dyDescent="0.25">
      <c r="A80" s="409"/>
      <c r="B80" s="409"/>
      <c r="C80" s="409"/>
      <c r="D80" s="409"/>
      <c r="E80" s="409"/>
      <c r="F80" s="409"/>
      <c r="G80" s="409"/>
      <c r="H80" s="409"/>
      <c r="I80" s="409"/>
    </row>
    <row r="81" spans="1:9" collapsed="1" x14ac:dyDescent="0.25">
      <c r="A81" s="413"/>
      <c r="B81" s="413"/>
      <c r="C81" s="413"/>
      <c r="D81" s="413"/>
      <c r="E81" s="413"/>
      <c r="F81" s="413"/>
      <c r="G81" s="413"/>
      <c r="H81" s="413"/>
      <c r="I81" s="413"/>
    </row>
    <row r="82" spans="1:9" x14ac:dyDescent="0.25">
      <c r="A82" s="334" t="s">
        <v>268</v>
      </c>
      <c r="B82" s="335"/>
      <c r="C82" s="335"/>
      <c r="D82" s="335"/>
      <c r="E82" s="335"/>
      <c r="F82" s="335"/>
      <c r="G82" s="335"/>
      <c r="H82" s="335"/>
      <c r="I82" s="335"/>
    </row>
    <row r="83" spans="1:9" x14ac:dyDescent="0.25">
      <c r="A83" s="414" t="s">
        <v>269</v>
      </c>
      <c r="B83" s="414"/>
      <c r="C83" s="414"/>
      <c r="D83" s="414"/>
      <c r="E83" s="414"/>
      <c r="F83" s="414"/>
      <c r="G83" s="414"/>
      <c r="H83" s="414"/>
      <c r="I83" s="414"/>
    </row>
    <row r="84" spans="1:9" x14ac:dyDescent="0.25">
      <c r="A84" s="414" t="s">
        <v>270</v>
      </c>
      <c r="B84" s="414"/>
      <c r="C84" s="414"/>
      <c r="D84" s="414"/>
      <c r="E84" s="414"/>
      <c r="F84" s="414"/>
      <c r="G84" s="414"/>
      <c r="H84" s="414"/>
      <c r="I84" s="414"/>
    </row>
    <row r="85" spans="1:9" x14ac:dyDescent="0.25">
      <c r="A85" s="414"/>
      <c r="B85" s="414"/>
      <c r="C85" s="414"/>
      <c r="D85" s="414"/>
      <c r="E85" s="414"/>
      <c r="F85" s="414"/>
      <c r="G85" s="414"/>
      <c r="H85" s="414"/>
      <c r="I85" s="414"/>
    </row>
    <row r="86" spans="1:9" x14ac:dyDescent="0.25">
      <c r="A86" s="414"/>
      <c r="B86" s="414"/>
      <c r="C86" s="414"/>
      <c r="D86" s="414"/>
      <c r="E86" s="414"/>
      <c r="F86" s="414"/>
      <c r="G86" s="414"/>
      <c r="H86" s="414"/>
      <c r="I86" s="414"/>
    </row>
    <row r="87" spans="1:9" ht="14.45" customHeight="1" x14ac:dyDescent="0.25">
      <c r="A87" s="414" t="s">
        <v>271</v>
      </c>
      <c r="B87" s="414"/>
      <c r="C87" s="414"/>
      <c r="D87" s="414"/>
      <c r="E87" s="414"/>
      <c r="F87" s="414"/>
      <c r="G87" s="414"/>
      <c r="H87" s="414"/>
      <c r="I87" s="414"/>
    </row>
    <row r="88" spans="1:9" x14ac:dyDescent="0.25">
      <c r="A88" s="414"/>
      <c r="B88" s="414"/>
      <c r="C88" s="414"/>
      <c r="D88" s="414"/>
      <c r="E88" s="414"/>
      <c r="F88" s="414"/>
      <c r="G88" s="414"/>
      <c r="H88" s="414"/>
      <c r="I88" s="414"/>
    </row>
  </sheetData>
  <mergeCells count="26">
    <mergeCell ref="A83:I83"/>
    <mergeCell ref="A84:I86"/>
    <mergeCell ref="A87:I88"/>
    <mergeCell ref="A78:I78"/>
    <mergeCell ref="A79:I80"/>
    <mergeCell ref="A81:I81"/>
    <mergeCell ref="A57:I58"/>
    <mergeCell ref="A59:I60"/>
    <mergeCell ref="A72:I72"/>
    <mergeCell ref="A73:I74"/>
    <mergeCell ref="A75:I75"/>
    <mergeCell ref="A63:I63"/>
    <mergeCell ref="A66:I67"/>
    <mergeCell ref="A68:I69"/>
    <mergeCell ref="A64:I65"/>
    <mergeCell ref="A56:I56"/>
    <mergeCell ref="A5:J5"/>
    <mergeCell ref="A8:J9"/>
    <mergeCell ref="A17:J18"/>
    <mergeCell ref="A50:I50"/>
    <mergeCell ref="A16:J16"/>
    <mergeCell ref="A55:I55"/>
    <mergeCell ref="A51:I52"/>
    <mergeCell ref="A44:I45"/>
    <mergeCell ref="A23:J24"/>
    <mergeCell ref="A21:J22"/>
  </mergeCells>
  <pageMargins left="0.42" right="0.21" top="0.71" bottom="0.38" header="0.3" footer="0.16"/>
  <pageSetup scale="83" orientation="landscape" r:id="rId1"/>
  <headerFooter>
    <oddHeader>&amp;C&amp;12Fir Grove PTO Budget
2021-2022</oddHeader>
    <oddFooter>Page &amp;P of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E446AF-756A-4E08-A488-AA4550A8EB5B}">
  <dimension ref="A1:B71"/>
  <sheetViews>
    <sheetView topLeftCell="A22" workbookViewId="0">
      <selection activeCell="A29" sqref="A29"/>
    </sheetView>
  </sheetViews>
  <sheetFormatPr defaultRowHeight="15" x14ac:dyDescent="0.25"/>
  <cols>
    <col min="1" max="1" width="32.28515625" style="185" customWidth="1"/>
    <col min="2" max="2" width="7.5703125" style="189" bestFit="1" customWidth="1"/>
  </cols>
  <sheetData>
    <row r="1" spans="1:2" x14ac:dyDescent="0.25">
      <c r="A1" s="304" t="s">
        <v>101</v>
      </c>
      <c r="B1" s="283">
        <v>11800</v>
      </c>
    </row>
    <row r="2" spans="1:2" x14ac:dyDescent="0.25">
      <c r="A2" s="221" t="s">
        <v>123</v>
      </c>
      <c r="B2" s="225">
        <v>8250</v>
      </c>
    </row>
    <row r="3" spans="1:2" x14ac:dyDescent="0.25">
      <c r="A3" s="221" t="s">
        <v>78</v>
      </c>
      <c r="B3" s="225">
        <v>7000</v>
      </c>
    </row>
    <row r="4" spans="1:2" x14ac:dyDescent="0.25">
      <c r="A4" s="221" t="s">
        <v>267</v>
      </c>
      <c r="B4" s="225">
        <v>5000</v>
      </c>
    </row>
    <row r="5" spans="1:2" x14ac:dyDescent="0.25">
      <c r="A5" s="221" t="s">
        <v>127</v>
      </c>
      <c r="B5" s="225">
        <v>4000</v>
      </c>
    </row>
    <row r="6" spans="1:2" x14ac:dyDescent="0.25">
      <c r="A6" s="221" t="s">
        <v>87</v>
      </c>
      <c r="B6" s="225">
        <v>2700</v>
      </c>
    </row>
    <row r="7" spans="1:2" x14ac:dyDescent="0.25">
      <c r="A7" s="221" t="s">
        <v>83</v>
      </c>
      <c r="B7" s="225">
        <v>2000</v>
      </c>
    </row>
    <row r="8" spans="1:2" x14ac:dyDescent="0.25">
      <c r="A8" s="221" t="s">
        <v>81</v>
      </c>
      <c r="B8" s="225">
        <v>1500</v>
      </c>
    </row>
    <row r="9" spans="1:2" x14ac:dyDescent="0.25">
      <c r="A9" s="221" t="s">
        <v>82</v>
      </c>
      <c r="B9" s="225">
        <v>1500</v>
      </c>
    </row>
    <row r="10" spans="1:2" x14ac:dyDescent="0.25">
      <c r="A10" s="221" t="s">
        <v>84</v>
      </c>
      <c r="B10" s="225">
        <v>1500</v>
      </c>
    </row>
    <row r="11" spans="1:2" x14ac:dyDescent="0.25">
      <c r="A11" s="235" t="s">
        <v>119</v>
      </c>
      <c r="B11" s="225">
        <v>1350</v>
      </c>
    </row>
    <row r="12" spans="1:2" x14ac:dyDescent="0.25">
      <c r="A12" s="221" t="s">
        <v>218</v>
      </c>
      <c r="B12" s="225">
        <v>1000</v>
      </c>
    </row>
    <row r="13" spans="1:2" x14ac:dyDescent="0.25">
      <c r="A13" s="221" t="s">
        <v>171</v>
      </c>
      <c r="B13" s="225">
        <v>1000</v>
      </c>
    </row>
    <row r="14" spans="1:2" x14ac:dyDescent="0.25">
      <c r="A14" s="221" t="s">
        <v>124</v>
      </c>
      <c r="B14" s="225">
        <v>1000</v>
      </c>
    </row>
    <row r="15" spans="1:2" x14ac:dyDescent="0.25">
      <c r="A15" s="221" t="s">
        <v>272</v>
      </c>
      <c r="B15" s="225">
        <v>890</v>
      </c>
    </row>
    <row r="16" spans="1:2" x14ac:dyDescent="0.25">
      <c r="A16" s="246" t="s">
        <v>151</v>
      </c>
      <c r="B16" s="225">
        <v>750</v>
      </c>
    </row>
    <row r="17" spans="1:2" x14ac:dyDescent="0.25">
      <c r="A17" s="221" t="s">
        <v>118</v>
      </c>
      <c r="B17" s="225">
        <v>750</v>
      </c>
    </row>
    <row r="18" spans="1:2" x14ac:dyDescent="0.25">
      <c r="A18" s="250" t="s">
        <v>91</v>
      </c>
      <c r="B18" s="253">
        <v>600</v>
      </c>
    </row>
    <row r="19" spans="1:2" x14ac:dyDescent="0.25">
      <c r="A19" s="392" t="s">
        <v>85</v>
      </c>
      <c r="B19" s="393">
        <v>500</v>
      </c>
    </row>
    <row r="20" spans="1:2" x14ac:dyDescent="0.25">
      <c r="A20" s="221" t="s">
        <v>113</v>
      </c>
      <c r="B20" s="225">
        <v>500</v>
      </c>
    </row>
    <row r="21" spans="1:2" x14ac:dyDescent="0.25">
      <c r="A21" s="221" t="s">
        <v>114</v>
      </c>
      <c r="B21" s="225">
        <v>500</v>
      </c>
    </row>
    <row r="22" spans="1:2" x14ac:dyDescent="0.25">
      <c r="A22" s="235" t="s">
        <v>152</v>
      </c>
      <c r="B22" s="225">
        <v>500</v>
      </c>
    </row>
    <row r="23" spans="1:2" x14ac:dyDescent="0.25">
      <c r="A23" s="235" t="s">
        <v>153</v>
      </c>
      <c r="B23" s="225">
        <v>500</v>
      </c>
    </row>
    <row r="24" spans="1:2" x14ac:dyDescent="0.25">
      <c r="A24" s="235" t="s">
        <v>116</v>
      </c>
      <c r="B24" s="225">
        <v>500</v>
      </c>
    </row>
    <row r="25" spans="1:2" x14ac:dyDescent="0.25">
      <c r="A25" s="235" t="s">
        <v>117</v>
      </c>
      <c r="B25" s="225">
        <v>500</v>
      </c>
    </row>
    <row r="26" spans="1:2" x14ac:dyDescent="0.25">
      <c r="A26" s="235" t="s">
        <v>154</v>
      </c>
      <c r="B26" s="225">
        <v>500</v>
      </c>
    </row>
    <row r="27" spans="1:2" x14ac:dyDescent="0.25">
      <c r="A27" s="221" t="s">
        <v>156</v>
      </c>
      <c r="B27" s="225">
        <v>500</v>
      </c>
    </row>
    <row r="28" spans="1:2" x14ac:dyDescent="0.25">
      <c r="A28" s="221" t="s">
        <v>105</v>
      </c>
      <c r="B28" s="225">
        <v>340</v>
      </c>
    </row>
    <row r="29" spans="1:2" x14ac:dyDescent="0.25">
      <c r="A29" s="235" t="s">
        <v>120</v>
      </c>
      <c r="B29" s="225">
        <v>300</v>
      </c>
    </row>
    <row r="30" spans="1:2" x14ac:dyDescent="0.25">
      <c r="A30" s="221" t="s">
        <v>88</v>
      </c>
      <c r="B30" s="225">
        <v>250</v>
      </c>
    </row>
    <row r="31" spans="1:2" x14ac:dyDescent="0.25">
      <c r="A31" s="235" t="s">
        <v>112</v>
      </c>
      <c r="B31" s="225">
        <v>250</v>
      </c>
    </row>
    <row r="32" spans="1:2" x14ac:dyDescent="0.25">
      <c r="A32" s="235" t="s">
        <v>275</v>
      </c>
      <c r="B32" s="225">
        <v>250</v>
      </c>
    </row>
    <row r="33" spans="1:2" x14ac:dyDescent="0.25">
      <c r="A33" s="221" t="s">
        <v>131</v>
      </c>
      <c r="B33" s="225">
        <v>230</v>
      </c>
    </row>
    <row r="34" spans="1:2" x14ac:dyDescent="0.25">
      <c r="A34" s="247" t="s">
        <v>138</v>
      </c>
      <c r="B34" s="249">
        <v>200</v>
      </c>
    </row>
    <row r="35" spans="1:2" x14ac:dyDescent="0.25">
      <c r="A35" s="221" t="s">
        <v>104</v>
      </c>
      <c r="B35" s="225">
        <v>200</v>
      </c>
    </row>
    <row r="36" spans="1:2" x14ac:dyDescent="0.25">
      <c r="A36" s="221" t="s">
        <v>106</v>
      </c>
      <c r="B36" s="225">
        <v>200</v>
      </c>
    </row>
    <row r="37" spans="1:2" x14ac:dyDescent="0.25">
      <c r="A37" s="235" t="s">
        <v>108</v>
      </c>
      <c r="B37" s="225">
        <v>200</v>
      </c>
    </row>
    <row r="38" spans="1:2" x14ac:dyDescent="0.25">
      <c r="A38" s="221" t="s">
        <v>155</v>
      </c>
      <c r="B38" s="225">
        <v>150</v>
      </c>
    </row>
    <row r="39" spans="1:2" x14ac:dyDescent="0.25">
      <c r="A39" s="221" t="s">
        <v>122</v>
      </c>
      <c r="B39" s="225">
        <v>140</v>
      </c>
    </row>
    <row r="40" spans="1:2" x14ac:dyDescent="0.25">
      <c r="A40" s="221" t="s">
        <v>115</v>
      </c>
      <c r="B40" s="225">
        <v>120</v>
      </c>
    </row>
    <row r="41" spans="1:2" x14ac:dyDescent="0.25">
      <c r="A41" s="221" t="s">
        <v>273</v>
      </c>
      <c r="B41" s="225">
        <v>100</v>
      </c>
    </row>
    <row r="42" spans="1:2" x14ac:dyDescent="0.25">
      <c r="A42" s="221" t="s">
        <v>86</v>
      </c>
      <c r="B42" s="225">
        <v>100</v>
      </c>
    </row>
    <row r="43" spans="1:2" x14ac:dyDescent="0.25">
      <c r="A43" s="247" t="s">
        <v>92</v>
      </c>
      <c r="B43" s="249">
        <v>100</v>
      </c>
    </row>
    <row r="44" spans="1:2" x14ac:dyDescent="0.25">
      <c r="A44" s="235" t="s">
        <v>103</v>
      </c>
      <c r="B44" s="225">
        <v>100</v>
      </c>
    </row>
    <row r="45" spans="1:2" x14ac:dyDescent="0.25">
      <c r="A45" s="221" t="s">
        <v>109</v>
      </c>
      <c r="B45" s="225">
        <v>100</v>
      </c>
    </row>
    <row r="46" spans="1:2" x14ac:dyDescent="0.25">
      <c r="A46" s="221" t="s">
        <v>121</v>
      </c>
      <c r="B46" s="225">
        <v>75</v>
      </c>
    </row>
    <row r="47" spans="1:2" x14ac:dyDescent="0.25">
      <c r="A47" s="246" t="s">
        <v>90</v>
      </c>
      <c r="B47" s="225">
        <v>50</v>
      </c>
    </row>
    <row r="48" spans="1:2" x14ac:dyDescent="0.25">
      <c r="A48" s="309"/>
      <c r="B48" s="311"/>
    </row>
    <row r="49" spans="1:2" x14ac:dyDescent="0.25">
      <c r="A49" s="309"/>
      <c r="B49" s="311"/>
    </row>
    <row r="50" spans="1:2" x14ac:dyDescent="0.25">
      <c r="A50" s="315"/>
      <c r="B50" s="317"/>
    </row>
    <row r="51" spans="1:2" x14ac:dyDescent="0.25">
      <c r="A51" s="315"/>
      <c r="B51" s="317"/>
    </row>
    <row r="52" spans="1:2" x14ac:dyDescent="0.25">
      <c r="A52" s="315"/>
      <c r="B52" s="317"/>
    </row>
    <row r="53" spans="1:2" x14ac:dyDescent="0.25">
      <c r="A53" s="315"/>
      <c r="B53" s="317"/>
    </row>
    <row r="54" spans="1:2" x14ac:dyDescent="0.25">
      <c r="A54" s="315"/>
      <c r="B54" s="317"/>
    </row>
    <row r="55" spans="1:2" x14ac:dyDescent="0.25">
      <c r="A55" s="315"/>
      <c r="B55" s="317"/>
    </row>
    <row r="56" spans="1:2" x14ac:dyDescent="0.25">
      <c r="A56" s="315"/>
      <c r="B56" s="317"/>
    </row>
    <row r="57" spans="1:2" x14ac:dyDescent="0.25">
      <c r="A57" s="315"/>
      <c r="B57" s="317"/>
    </row>
    <row r="58" spans="1:2" x14ac:dyDescent="0.25">
      <c r="A58" s="315"/>
      <c r="B58" s="317"/>
    </row>
    <row r="59" spans="1:2" x14ac:dyDescent="0.25">
      <c r="A59" s="315"/>
      <c r="B59" s="317"/>
    </row>
    <row r="60" spans="1:2" x14ac:dyDescent="0.25">
      <c r="A60" s="315"/>
      <c r="B60" s="317"/>
    </row>
    <row r="61" spans="1:2" x14ac:dyDescent="0.25">
      <c r="A61" s="315"/>
      <c r="B61" s="317"/>
    </row>
    <row r="62" spans="1:2" x14ac:dyDescent="0.25">
      <c r="A62" s="315"/>
      <c r="B62" s="317"/>
    </row>
    <row r="63" spans="1:2" x14ac:dyDescent="0.25">
      <c r="A63" s="315"/>
      <c r="B63" s="317"/>
    </row>
    <row r="64" spans="1:2" x14ac:dyDescent="0.25">
      <c r="A64" s="315"/>
      <c r="B64" s="317"/>
    </row>
    <row r="65" spans="1:2" x14ac:dyDescent="0.25">
      <c r="A65" s="315"/>
      <c r="B65" s="317"/>
    </row>
    <row r="66" spans="1:2" x14ac:dyDescent="0.25">
      <c r="A66" s="315"/>
      <c r="B66" s="317"/>
    </row>
    <row r="67" spans="1:2" x14ac:dyDescent="0.25">
      <c r="A67" s="338"/>
    </row>
    <row r="68" spans="1:2" x14ac:dyDescent="0.25">
      <c r="A68" s="338"/>
    </row>
    <row r="69" spans="1:2" x14ac:dyDescent="0.25">
      <c r="A69" s="338"/>
    </row>
    <row r="70" spans="1:2" x14ac:dyDescent="0.25">
      <c r="A70" s="338"/>
    </row>
    <row r="71" spans="1:2" x14ac:dyDescent="0.25">
      <c r="A71" s="338"/>
    </row>
  </sheetData>
  <sortState xmlns:xlrd2="http://schemas.microsoft.com/office/spreadsheetml/2017/richdata2" ref="A1:B111">
    <sortCondition descending="1" ref="B16:B111"/>
  </sortState>
  <pageMargins left="0.7" right="0.7" top="0.75" bottom="0.75" header="0.3" footer="0.3"/>
  <drawing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16B920-8AEC-4467-AA0B-BECD004AA035}">
  <dimension ref="A1:B19"/>
  <sheetViews>
    <sheetView topLeftCell="A19" workbookViewId="0">
      <selection activeCell="A18" sqref="A18:XFD18"/>
    </sheetView>
  </sheetViews>
  <sheetFormatPr defaultRowHeight="15" x14ac:dyDescent="0.25"/>
  <cols>
    <col min="1" max="1" width="54.28515625" bestFit="1" customWidth="1"/>
    <col min="2" max="2" width="10.5703125" style="401" bestFit="1" customWidth="1"/>
  </cols>
  <sheetData>
    <row r="1" spans="1:2" x14ac:dyDescent="0.25">
      <c r="A1" t="s">
        <v>113</v>
      </c>
      <c r="B1" s="401">
        <v>9.5</v>
      </c>
    </row>
    <row r="2" spans="1:2" x14ac:dyDescent="0.25">
      <c r="A2" t="s">
        <v>106</v>
      </c>
      <c r="B2" s="401">
        <v>33.57</v>
      </c>
    </row>
    <row r="3" spans="1:2" x14ac:dyDescent="0.25">
      <c r="A3" t="s">
        <v>91</v>
      </c>
      <c r="B3" s="401">
        <v>41.34</v>
      </c>
    </row>
    <row r="4" spans="1:2" x14ac:dyDescent="0.25">
      <c r="A4" t="s">
        <v>84</v>
      </c>
      <c r="B4" s="401">
        <v>65</v>
      </c>
    </row>
    <row r="5" spans="1:2" x14ac:dyDescent="0.25">
      <c r="A5" t="s">
        <v>122</v>
      </c>
      <c r="B5" s="401">
        <v>90</v>
      </c>
    </row>
    <row r="6" spans="1:2" x14ac:dyDescent="0.25">
      <c r="A6" t="s">
        <v>92</v>
      </c>
      <c r="B6" s="401">
        <v>101.92</v>
      </c>
    </row>
    <row r="7" spans="1:2" x14ac:dyDescent="0.25">
      <c r="A7" t="s">
        <v>156</v>
      </c>
      <c r="B7" s="401">
        <v>109.9</v>
      </c>
    </row>
    <row r="8" spans="1:2" x14ac:dyDescent="0.25">
      <c r="A8" t="s">
        <v>87</v>
      </c>
      <c r="B8" s="401">
        <v>139.02000000000001</v>
      </c>
    </row>
    <row r="9" spans="1:2" x14ac:dyDescent="0.25">
      <c r="A9" t="s">
        <v>120</v>
      </c>
      <c r="B9" s="401">
        <v>235</v>
      </c>
    </row>
    <row r="10" spans="1:2" x14ac:dyDescent="0.25">
      <c r="A10" t="s">
        <v>88</v>
      </c>
      <c r="B10" s="401">
        <v>250</v>
      </c>
    </row>
    <row r="11" spans="1:2" x14ac:dyDescent="0.25">
      <c r="A11" t="s">
        <v>105</v>
      </c>
      <c r="B11" s="401">
        <v>335</v>
      </c>
    </row>
    <row r="12" spans="1:2" x14ac:dyDescent="0.25">
      <c r="A12" t="s">
        <v>117</v>
      </c>
      <c r="B12" s="401">
        <v>395.34</v>
      </c>
    </row>
    <row r="13" spans="1:2" x14ac:dyDescent="0.25">
      <c r="A13" t="s">
        <v>154</v>
      </c>
      <c r="B13" s="401">
        <v>460.68</v>
      </c>
    </row>
    <row r="14" spans="1:2" x14ac:dyDescent="0.25">
      <c r="A14" t="s">
        <v>119</v>
      </c>
      <c r="B14" s="401">
        <v>552.43000000000006</v>
      </c>
    </row>
    <row r="15" spans="1:2" x14ac:dyDescent="0.25">
      <c r="A15" t="s">
        <v>101</v>
      </c>
      <c r="B15" s="401">
        <v>666.3</v>
      </c>
    </row>
    <row r="16" spans="1:2" x14ac:dyDescent="0.25">
      <c r="A16" t="s">
        <v>171</v>
      </c>
      <c r="B16" s="401">
        <v>995</v>
      </c>
    </row>
    <row r="17" spans="1:2" x14ac:dyDescent="0.25">
      <c r="A17" t="s">
        <v>123</v>
      </c>
      <c r="B17" s="401">
        <v>1145.69</v>
      </c>
    </row>
    <row r="18" spans="1:2" x14ac:dyDescent="0.25">
      <c r="A18" t="s">
        <v>267</v>
      </c>
      <c r="B18" s="401">
        <v>3485.6299999999997</v>
      </c>
    </row>
    <row r="19" spans="1:2" x14ac:dyDescent="0.25">
      <c r="A19" t="s">
        <v>78</v>
      </c>
      <c r="B19" s="401">
        <v>4431.88</v>
      </c>
    </row>
  </sheetData>
  <sortState xmlns:xlrd2="http://schemas.microsoft.com/office/spreadsheetml/2017/richdata2" ref="A1:B62">
    <sortCondition ref="B1:B62"/>
  </sortState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B148"/>
  <sheetViews>
    <sheetView topLeftCell="A4" zoomScaleNormal="100" zoomScaleSheetLayoutView="130" workbookViewId="0">
      <selection activeCell="A29" sqref="A29:XFD29"/>
    </sheetView>
  </sheetViews>
  <sheetFormatPr defaultRowHeight="12.75" customHeight="1" outlineLevelRow="1" outlineLevelCol="1" x14ac:dyDescent="0.25"/>
  <cols>
    <col min="1" max="1" width="32.28515625" style="145" customWidth="1"/>
    <col min="2" max="2" width="7.42578125" style="37" customWidth="1"/>
    <col min="3" max="3" width="7.5703125" style="3" customWidth="1"/>
    <col min="4" max="4" width="8.28515625" style="3" customWidth="1"/>
    <col min="5" max="5" width="7.5703125" style="3" customWidth="1"/>
    <col min="6" max="6" width="7" style="3" customWidth="1"/>
    <col min="7" max="7" width="6.7109375" style="3" customWidth="1"/>
    <col min="8" max="8" width="7.28515625" style="3" customWidth="1"/>
    <col min="9" max="9" width="7.7109375" style="3" customWidth="1"/>
    <col min="10" max="10" width="8.42578125" style="157" customWidth="1"/>
    <col min="11" max="12" width="8.42578125" style="3" customWidth="1"/>
    <col min="13" max="13" width="10.140625" style="3" customWidth="1" outlineLevel="1"/>
    <col min="14" max="14" width="8.42578125" style="4" customWidth="1"/>
    <col min="15" max="15" width="9.28515625" style="24" customWidth="1"/>
    <col min="16" max="16" width="10.5703125" style="5" customWidth="1"/>
    <col min="17" max="17" width="10.28515625" style="114" customWidth="1"/>
    <col min="18" max="18" width="8" customWidth="1"/>
    <col min="19" max="19" width="5.28515625" customWidth="1" outlineLevel="1"/>
    <col min="20" max="20" width="11" customWidth="1" outlineLevel="1"/>
    <col min="21" max="21" width="7.28515625" style="1" customWidth="1" outlineLevel="1"/>
    <col min="22" max="22" width="9.5703125" customWidth="1" outlineLevel="1"/>
    <col min="23" max="23" width="8.85546875" customWidth="1" outlineLevel="1"/>
    <col min="24" max="24" width="7.7109375" customWidth="1" outlineLevel="1"/>
    <col min="25" max="25" width="9.28515625" customWidth="1" outlineLevel="1"/>
    <col min="26" max="26" width="9.140625" customWidth="1"/>
    <col min="28" max="28" width="9.5703125" customWidth="1"/>
  </cols>
  <sheetData>
    <row r="1" spans="1:28" ht="12.75" customHeight="1" thickBot="1" x14ac:dyDescent="0.3">
      <c r="M1" s="6"/>
      <c r="N1" s="71"/>
      <c r="O1" s="71"/>
      <c r="P1" s="71"/>
    </row>
    <row r="2" spans="1:28" ht="12.75" customHeight="1" x14ac:dyDescent="0.25">
      <c r="M2" s="6"/>
      <c r="N2" s="71"/>
      <c r="O2" s="71"/>
      <c r="P2" s="71"/>
      <c r="S2" s="415" t="s">
        <v>61</v>
      </c>
      <c r="T2" s="416"/>
      <c r="U2" s="416"/>
      <c r="V2" s="416"/>
      <c r="W2" s="416"/>
      <c r="X2" s="417"/>
    </row>
    <row r="3" spans="1:28" ht="12.75" customHeight="1" x14ac:dyDescent="0.25">
      <c r="M3" s="6"/>
      <c r="N3" s="71"/>
      <c r="O3" s="71"/>
      <c r="P3" s="71"/>
      <c r="S3" s="98" t="s">
        <v>55</v>
      </c>
      <c r="T3" s="94" t="s">
        <v>62</v>
      </c>
      <c r="U3" s="94" t="s">
        <v>63</v>
      </c>
      <c r="V3" s="94" t="s">
        <v>55</v>
      </c>
      <c r="W3" s="94" t="s">
        <v>62</v>
      </c>
      <c r="X3" s="99" t="s">
        <v>63</v>
      </c>
    </row>
    <row r="4" spans="1:28" ht="12.75" customHeight="1" x14ac:dyDescent="0.25">
      <c r="C4" s="37"/>
      <c r="M4" s="6"/>
      <c r="N4" s="71"/>
      <c r="O4" s="71"/>
      <c r="P4" s="71"/>
      <c r="S4" s="100" t="s">
        <v>5</v>
      </c>
      <c r="T4" s="131" t="s">
        <v>51</v>
      </c>
      <c r="U4" s="134">
        <v>250</v>
      </c>
      <c r="V4" s="137" t="s">
        <v>39</v>
      </c>
      <c r="W4" s="139" t="s">
        <v>48</v>
      </c>
      <c r="X4" s="142">
        <v>242.93</v>
      </c>
    </row>
    <row r="5" spans="1:28" ht="12.75" customHeight="1" x14ac:dyDescent="0.25">
      <c r="M5" s="6"/>
      <c r="N5" s="71"/>
      <c r="O5" s="71"/>
      <c r="P5" s="71"/>
      <c r="S5" s="101" t="s">
        <v>5</v>
      </c>
      <c r="T5" s="132" t="s">
        <v>46</v>
      </c>
      <c r="U5" s="135">
        <v>250</v>
      </c>
      <c r="V5" s="138" t="s">
        <v>49</v>
      </c>
      <c r="W5" s="140" t="s">
        <v>134</v>
      </c>
      <c r="X5" s="143">
        <v>250</v>
      </c>
    </row>
    <row r="6" spans="1:28" ht="12.75" customHeight="1" x14ac:dyDescent="0.25">
      <c r="M6" s="6"/>
      <c r="N6" s="71"/>
      <c r="O6" s="71"/>
      <c r="P6" s="71"/>
      <c r="S6" s="101" t="s">
        <v>133</v>
      </c>
      <c r="T6" s="132" t="s">
        <v>6</v>
      </c>
      <c r="U6" s="136">
        <v>250</v>
      </c>
      <c r="V6" s="138" t="s">
        <v>22</v>
      </c>
      <c r="W6" s="140" t="s">
        <v>64</v>
      </c>
      <c r="X6" s="143">
        <v>242.12</v>
      </c>
    </row>
    <row r="7" spans="1:28" ht="12.75" customHeight="1" x14ac:dyDescent="0.25">
      <c r="M7" s="6"/>
      <c r="N7" s="71"/>
      <c r="O7" s="71"/>
      <c r="P7" s="71"/>
      <c r="S7" s="101" t="s">
        <v>9</v>
      </c>
      <c r="T7" s="132" t="s">
        <v>12</v>
      </c>
      <c r="U7" s="136">
        <v>250</v>
      </c>
      <c r="V7" s="138" t="s">
        <v>22</v>
      </c>
      <c r="W7" s="140" t="s">
        <v>65</v>
      </c>
      <c r="X7" s="143">
        <v>250</v>
      </c>
      <c r="Z7" s="62"/>
      <c r="AA7" s="62"/>
      <c r="AB7" s="62"/>
    </row>
    <row r="8" spans="1:28" ht="12.75" customHeight="1" x14ac:dyDescent="0.25">
      <c r="M8" s="6"/>
      <c r="N8" s="71"/>
      <c r="O8" s="71"/>
      <c r="P8" s="71"/>
      <c r="S8" s="101" t="s">
        <v>9</v>
      </c>
      <c r="T8" s="132" t="s">
        <v>36</v>
      </c>
      <c r="U8" s="136">
        <v>250</v>
      </c>
      <c r="V8" s="138" t="s">
        <v>59</v>
      </c>
      <c r="W8" s="140" t="s">
        <v>23</v>
      </c>
      <c r="X8" s="143">
        <v>8.68</v>
      </c>
      <c r="Z8" s="62"/>
      <c r="AA8" s="128"/>
      <c r="AB8" s="128"/>
    </row>
    <row r="9" spans="1:28" ht="12.75" customHeight="1" x14ac:dyDescent="0.25">
      <c r="M9" s="6"/>
      <c r="N9" s="71"/>
      <c r="O9" s="71"/>
      <c r="P9" s="71"/>
      <c r="S9" s="101" t="s">
        <v>13</v>
      </c>
      <c r="T9" s="132" t="s">
        <v>10</v>
      </c>
      <c r="U9" s="136">
        <v>245.97</v>
      </c>
      <c r="V9" s="138" t="s">
        <v>37</v>
      </c>
      <c r="W9" s="140" t="s">
        <v>35</v>
      </c>
      <c r="X9" s="143">
        <f>100.02+51.55</f>
        <v>151.57</v>
      </c>
      <c r="Z9" s="62"/>
      <c r="AA9" s="128"/>
      <c r="AB9" s="128"/>
    </row>
    <row r="10" spans="1:28" ht="12.75" customHeight="1" x14ac:dyDescent="0.25">
      <c r="M10" s="6"/>
      <c r="N10" s="71"/>
      <c r="O10" s="71"/>
      <c r="P10" s="71"/>
      <c r="S10" s="101" t="s">
        <v>13</v>
      </c>
      <c r="T10" s="132" t="s">
        <v>58</v>
      </c>
      <c r="U10" s="136">
        <v>248.97</v>
      </c>
      <c r="V10" s="138" t="s">
        <v>24</v>
      </c>
      <c r="W10" s="140" t="s">
        <v>50</v>
      </c>
      <c r="X10" s="143">
        <v>249.4</v>
      </c>
      <c r="Z10" s="62"/>
      <c r="AA10" s="128"/>
      <c r="AB10" s="128"/>
    </row>
    <row r="11" spans="1:28" ht="12.75" customHeight="1" x14ac:dyDescent="0.25">
      <c r="M11" s="6"/>
      <c r="N11" s="71"/>
      <c r="O11" s="71"/>
      <c r="P11" s="71"/>
      <c r="S11" s="101" t="s">
        <v>15</v>
      </c>
      <c r="T11" s="132" t="s">
        <v>21</v>
      </c>
      <c r="U11" s="136">
        <v>250</v>
      </c>
      <c r="V11" s="138" t="s">
        <v>38</v>
      </c>
      <c r="W11" s="140" t="s">
        <v>16</v>
      </c>
      <c r="X11" s="144">
        <v>237.89</v>
      </c>
      <c r="Z11" s="62"/>
      <c r="AA11" s="62"/>
      <c r="AB11" s="62"/>
    </row>
    <row r="12" spans="1:28" ht="12.75" customHeight="1" x14ac:dyDescent="0.25">
      <c r="M12" s="6"/>
      <c r="N12" s="71"/>
      <c r="O12" s="71"/>
      <c r="P12" s="71"/>
      <c r="S12" s="101" t="s">
        <v>15</v>
      </c>
      <c r="T12" s="132" t="s">
        <v>52</v>
      </c>
      <c r="U12" s="136">
        <v>250</v>
      </c>
      <c r="V12" s="138" t="s">
        <v>42</v>
      </c>
      <c r="W12" s="140" t="s">
        <v>149</v>
      </c>
      <c r="X12" s="143">
        <v>249.67</v>
      </c>
    </row>
    <row r="13" spans="1:28" ht="12.75" customHeight="1" x14ac:dyDescent="0.25">
      <c r="M13" s="6"/>
      <c r="N13" s="71"/>
      <c r="O13" s="71"/>
      <c r="P13" s="71"/>
      <c r="S13" s="101" t="s">
        <v>15</v>
      </c>
      <c r="T13" s="132" t="s">
        <v>17</v>
      </c>
      <c r="U13" s="136">
        <v>250</v>
      </c>
      <c r="V13" s="138" t="s">
        <v>57</v>
      </c>
      <c r="W13" s="141" t="s">
        <v>53</v>
      </c>
      <c r="X13" s="143">
        <v>219.06</v>
      </c>
    </row>
    <row r="14" spans="1:28" ht="12.75" customHeight="1" x14ac:dyDescent="0.25">
      <c r="M14" s="6"/>
      <c r="N14" s="71"/>
      <c r="O14" s="71"/>
      <c r="P14" s="71"/>
      <c r="S14" s="101" t="s">
        <v>18</v>
      </c>
      <c r="T14" s="132" t="s">
        <v>19</v>
      </c>
      <c r="U14" s="136">
        <f>(70.74+35.64)/2+7.95+188.86</f>
        <v>250</v>
      </c>
      <c r="V14" s="138" t="s">
        <v>40</v>
      </c>
      <c r="W14" s="141" t="s">
        <v>41</v>
      </c>
      <c r="X14" s="143">
        <v>248.25</v>
      </c>
    </row>
    <row r="15" spans="1:28" ht="12.75" customHeight="1" x14ac:dyDescent="0.25">
      <c r="J15" s="171"/>
      <c r="M15" s="6"/>
      <c r="N15" s="71"/>
      <c r="O15" s="71" t="s">
        <v>137</v>
      </c>
      <c r="P15" s="71"/>
      <c r="S15" s="101" t="s">
        <v>18</v>
      </c>
      <c r="T15" s="132" t="s">
        <v>47</v>
      </c>
      <c r="U15" s="136">
        <f>(70.74+35.64)/2+28.14+7.95+89.64+71.08</f>
        <v>250</v>
      </c>
      <c r="V15" s="138" t="s">
        <v>60</v>
      </c>
      <c r="W15" s="141" t="s">
        <v>66</v>
      </c>
      <c r="X15" s="143">
        <f>47.75+200.9</f>
        <v>248.65</v>
      </c>
    </row>
    <row r="16" spans="1:28" ht="12.75" customHeight="1" x14ac:dyDescent="0.25">
      <c r="A16" s="146"/>
      <c r="B16" s="17">
        <v>44033</v>
      </c>
      <c r="C16" s="17">
        <v>44044</v>
      </c>
      <c r="D16" s="17">
        <v>44075</v>
      </c>
      <c r="E16" s="17">
        <v>44105</v>
      </c>
      <c r="F16" s="17">
        <v>44136</v>
      </c>
      <c r="G16" s="17">
        <v>44166</v>
      </c>
      <c r="H16" s="17">
        <v>44197</v>
      </c>
      <c r="I16" s="17">
        <v>44228</v>
      </c>
      <c r="J16" s="17">
        <v>44276</v>
      </c>
      <c r="K16" s="17">
        <v>44287</v>
      </c>
      <c r="L16" s="17">
        <v>44317</v>
      </c>
      <c r="M16" s="17">
        <v>44348</v>
      </c>
      <c r="N16" s="7" t="s">
        <v>0</v>
      </c>
      <c r="O16" s="25" t="s">
        <v>1</v>
      </c>
      <c r="P16" s="21" t="s">
        <v>2</v>
      </c>
      <c r="Q16" s="117"/>
      <c r="S16" s="101" t="s">
        <v>20</v>
      </c>
      <c r="T16" s="132" t="s">
        <v>56</v>
      </c>
      <c r="U16" s="136">
        <f>84.97+88.72+19.35</f>
        <v>193.04</v>
      </c>
      <c r="V16" s="138" t="s">
        <v>67</v>
      </c>
      <c r="W16" s="140" t="s">
        <v>14</v>
      </c>
      <c r="X16" s="143">
        <f>83.2+43.9+120.32</f>
        <v>247.42</v>
      </c>
    </row>
    <row r="17" spans="1:28" ht="12.75" customHeight="1" x14ac:dyDescent="0.25">
      <c r="A17" s="23" t="s">
        <v>3</v>
      </c>
      <c r="B17" s="43"/>
      <c r="C17" s="9"/>
      <c r="D17" s="9"/>
      <c r="E17" s="9"/>
      <c r="F17" s="9"/>
      <c r="G17" s="9"/>
      <c r="H17" s="9"/>
      <c r="I17" s="9"/>
      <c r="J17" s="158"/>
      <c r="K17" s="9"/>
      <c r="L17" s="9"/>
      <c r="M17" s="9"/>
      <c r="N17" s="10"/>
      <c r="O17" s="26"/>
      <c r="P17" s="11"/>
      <c r="Q17" s="116"/>
      <c r="S17" s="101" t="s">
        <v>20</v>
      </c>
      <c r="T17" s="133" t="s">
        <v>45</v>
      </c>
      <c r="U17" s="136">
        <f>165+85</f>
        <v>250</v>
      </c>
      <c r="V17" s="138"/>
      <c r="W17" s="141"/>
      <c r="X17" s="143"/>
    </row>
    <row r="18" spans="1:28" ht="12.75" customHeight="1" thickBot="1" x14ac:dyDescent="0.3">
      <c r="A18" s="147" t="s">
        <v>142</v>
      </c>
      <c r="B18" s="27"/>
      <c r="C18" s="27"/>
      <c r="D18" s="27"/>
      <c r="E18" s="27"/>
      <c r="F18" s="27"/>
      <c r="G18" s="27"/>
      <c r="H18" s="27"/>
      <c r="I18" s="27"/>
      <c r="J18" s="159"/>
      <c r="K18" s="27"/>
      <c r="L18" s="27">
        <v>2423</v>
      </c>
      <c r="M18" s="27"/>
      <c r="N18" s="28">
        <f>SUM(B18:M18)</f>
        <v>2423</v>
      </c>
      <c r="O18" s="29">
        <v>0</v>
      </c>
      <c r="P18" s="30">
        <f>O18-N18</f>
        <v>-2423</v>
      </c>
      <c r="Q18" s="118"/>
      <c r="S18" s="101" t="s">
        <v>20</v>
      </c>
      <c r="T18" s="133" t="s">
        <v>54</v>
      </c>
      <c r="U18" s="136">
        <v>248.68</v>
      </c>
      <c r="V18" s="138"/>
      <c r="W18" s="141"/>
      <c r="X18" s="143"/>
    </row>
    <row r="19" spans="1:28" ht="12.75" customHeight="1" thickBot="1" x14ac:dyDescent="0.3">
      <c r="A19" s="63" t="s">
        <v>126</v>
      </c>
      <c r="B19" s="35"/>
      <c r="C19" s="35"/>
      <c r="D19" s="35"/>
      <c r="E19" s="31"/>
      <c r="F19" s="31"/>
      <c r="G19" s="31"/>
      <c r="H19" s="35"/>
      <c r="I19" s="35"/>
      <c r="J19" s="160"/>
      <c r="K19" s="35"/>
      <c r="L19" s="31"/>
      <c r="M19" s="35"/>
      <c r="N19" s="32">
        <f>SUM(B19:M19)</f>
        <v>0</v>
      </c>
      <c r="O19" s="33">
        <v>4000</v>
      </c>
      <c r="P19" s="34">
        <f>O19-N19</f>
        <v>4000</v>
      </c>
      <c r="Q19" s="118"/>
      <c r="R19" s="111"/>
      <c r="S19" s="95" t="s">
        <v>71</v>
      </c>
      <c r="T19" s="96"/>
      <c r="U19" s="108"/>
      <c r="V19" s="109"/>
      <c r="W19" s="109"/>
      <c r="X19" s="104">
        <f>SUM(U4:U18,X4:X18)</f>
        <v>6532.3</v>
      </c>
    </row>
    <row r="20" spans="1:28" ht="12.75" customHeight="1" x14ac:dyDescent="0.25">
      <c r="A20" s="63" t="s">
        <v>68</v>
      </c>
      <c r="B20" s="35"/>
      <c r="C20" s="35"/>
      <c r="D20" s="35"/>
      <c r="E20" s="31"/>
      <c r="F20" s="31"/>
      <c r="G20" s="31"/>
      <c r="H20" s="31"/>
      <c r="I20" s="35"/>
      <c r="J20" s="160"/>
      <c r="K20" s="35"/>
      <c r="L20" s="31"/>
      <c r="M20" s="35"/>
      <c r="N20" s="32">
        <f t="shared" ref="N20:N32" si="0">SUM(B20:M20)</f>
        <v>0</v>
      </c>
      <c r="O20" s="33">
        <v>0</v>
      </c>
      <c r="P20" s="34">
        <f t="shared" ref="P20:P32" si="1">O20-N20</f>
        <v>0</v>
      </c>
      <c r="Q20" s="118"/>
      <c r="R20" s="111"/>
      <c r="S20" s="423"/>
      <c r="T20" s="423"/>
      <c r="U20" s="91"/>
      <c r="V20" s="16"/>
    </row>
    <row r="21" spans="1:28" ht="12.75" customHeight="1" thickBot="1" x14ac:dyDescent="0.3">
      <c r="A21" s="63" t="s">
        <v>69</v>
      </c>
      <c r="B21" s="35"/>
      <c r="C21" s="35"/>
      <c r="D21" s="35"/>
      <c r="E21" s="31"/>
      <c r="F21" s="35"/>
      <c r="G21" s="31"/>
      <c r="H21" s="31"/>
      <c r="I21" s="35"/>
      <c r="J21" s="31"/>
      <c r="K21" s="35"/>
      <c r="L21" s="35"/>
      <c r="M21" s="35"/>
      <c r="N21" s="32">
        <f t="shared" si="0"/>
        <v>0</v>
      </c>
      <c r="O21" s="33">
        <v>1000</v>
      </c>
      <c r="P21" s="34">
        <f t="shared" si="1"/>
        <v>1000</v>
      </c>
      <c r="Q21" s="118"/>
      <c r="R21" s="111"/>
      <c r="S21" s="423"/>
      <c r="T21" s="423"/>
      <c r="U21" s="91"/>
      <c r="V21" s="16"/>
    </row>
    <row r="22" spans="1:28" ht="12.75" customHeight="1" thickBot="1" x14ac:dyDescent="0.3">
      <c r="A22" s="63" t="s">
        <v>70</v>
      </c>
      <c r="B22" s="31"/>
      <c r="C22" s="31"/>
      <c r="D22" s="31"/>
      <c r="E22" s="31"/>
      <c r="F22" s="31"/>
      <c r="G22" s="31"/>
      <c r="H22" s="31">
        <v>147.9</v>
      </c>
      <c r="I22" s="31"/>
      <c r="J22" s="161"/>
      <c r="K22" s="31"/>
      <c r="L22" s="31">
        <v>25.5</v>
      </c>
      <c r="M22" s="31"/>
      <c r="N22" s="32">
        <f t="shared" si="0"/>
        <v>173.4</v>
      </c>
      <c r="O22" s="33">
        <v>400</v>
      </c>
      <c r="P22" s="34">
        <f t="shared" si="1"/>
        <v>226.6</v>
      </c>
      <c r="Q22" s="118"/>
      <c r="R22" s="111"/>
      <c r="S22" s="72"/>
      <c r="T22" s="418" t="s">
        <v>4</v>
      </c>
      <c r="U22" s="419"/>
      <c r="V22" s="420"/>
      <c r="Y22" s="107">
        <f>X19-N88</f>
        <v>0</v>
      </c>
    </row>
    <row r="23" spans="1:28" ht="12.75" customHeight="1" x14ac:dyDescent="0.25">
      <c r="A23" s="63" t="s">
        <v>143</v>
      </c>
      <c r="B23" s="31"/>
      <c r="C23" s="31">
        <v>340</v>
      </c>
      <c r="D23" s="31"/>
      <c r="E23" s="31"/>
      <c r="F23" s="31"/>
      <c r="G23" s="31"/>
      <c r="H23" s="31"/>
      <c r="I23" s="31"/>
      <c r="J23" s="161"/>
      <c r="K23" s="31"/>
      <c r="L23" s="31"/>
      <c r="M23" s="31"/>
      <c r="N23" s="32">
        <f t="shared" si="0"/>
        <v>340</v>
      </c>
      <c r="O23" s="33">
        <v>2000</v>
      </c>
      <c r="P23" s="34">
        <f t="shared" si="1"/>
        <v>1660</v>
      </c>
      <c r="Q23" s="118"/>
      <c r="R23" s="111"/>
      <c r="T23" s="421" t="s">
        <v>33</v>
      </c>
      <c r="U23" s="422"/>
      <c r="V23" s="102">
        <v>5273.26</v>
      </c>
      <c r="Y23" s="110">
        <f>X19/O88</f>
        <v>0.87097333333333338</v>
      </c>
    </row>
    <row r="24" spans="1:28" ht="12.75" customHeight="1" x14ac:dyDescent="0.25">
      <c r="A24" s="63" t="s">
        <v>141</v>
      </c>
      <c r="B24" s="31"/>
      <c r="C24" s="31"/>
      <c r="D24" s="31"/>
      <c r="E24" s="31"/>
      <c r="F24" s="31">
        <v>218.35</v>
      </c>
      <c r="G24" s="31"/>
      <c r="H24" s="31"/>
      <c r="I24" s="31"/>
      <c r="J24" s="161"/>
      <c r="K24" s="31"/>
      <c r="L24" s="31"/>
      <c r="M24" s="31"/>
      <c r="N24" s="32">
        <f t="shared" si="0"/>
        <v>218.35</v>
      </c>
      <c r="O24" s="33">
        <v>0</v>
      </c>
      <c r="P24" s="34">
        <f t="shared" si="1"/>
        <v>-218.35</v>
      </c>
      <c r="Q24" s="118"/>
      <c r="R24" s="111"/>
      <c r="T24" s="155" t="s">
        <v>34</v>
      </c>
      <c r="U24" s="156"/>
      <c r="V24" s="102">
        <v>5318.39</v>
      </c>
    </row>
    <row r="25" spans="1:28" ht="12.75" customHeight="1" x14ac:dyDescent="0.25">
      <c r="A25" s="63" t="s">
        <v>73</v>
      </c>
      <c r="B25" s="31"/>
      <c r="C25" s="31"/>
      <c r="D25" s="31"/>
      <c r="E25" s="36">
        <f>6841.42</f>
        <v>6841.42</v>
      </c>
      <c r="F25" s="31">
        <v>4793.49</v>
      </c>
      <c r="G25" s="31">
        <v>388</v>
      </c>
      <c r="H25" s="31"/>
      <c r="I25" s="31"/>
      <c r="J25" s="161"/>
      <c r="K25" s="31"/>
      <c r="L25" s="31"/>
      <c r="M25" s="31"/>
      <c r="N25" s="32">
        <f t="shared" si="0"/>
        <v>12022.91</v>
      </c>
      <c r="O25" s="33">
        <v>20000</v>
      </c>
      <c r="P25" s="34">
        <f t="shared" si="1"/>
        <v>7977.09</v>
      </c>
      <c r="Q25" s="118"/>
      <c r="R25" s="111"/>
      <c r="S25" s="88"/>
      <c r="T25" s="155" t="s">
        <v>77</v>
      </c>
      <c r="U25" s="156"/>
      <c r="V25" s="102">
        <v>1561.05</v>
      </c>
      <c r="W25" s="88"/>
      <c r="X25" s="88"/>
    </row>
    <row r="26" spans="1:28" ht="12.75" customHeight="1" x14ac:dyDescent="0.25">
      <c r="A26" s="63" t="s">
        <v>147</v>
      </c>
      <c r="B26" s="31">
        <v>113.72</v>
      </c>
      <c r="C26" s="31">
        <f>2216.2+14-340</f>
        <v>1890.1999999999998</v>
      </c>
      <c r="D26" s="31"/>
      <c r="E26" s="31"/>
      <c r="F26" s="31">
        <v>122</v>
      </c>
      <c r="G26" s="31">
        <v>768.25</v>
      </c>
      <c r="H26" s="31"/>
      <c r="I26" s="31">
        <v>314</v>
      </c>
      <c r="J26" s="161"/>
      <c r="K26" s="31">
        <f>195.11</f>
        <v>195.11</v>
      </c>
      <c r="L26" s="31"/>
      <c r="M26" s="31">
        <v>231.2</v>
      </c>
      <c r="N26" s="32">
        <f t="shared" si="0"/>
        <v>3634.48</v>
      </c>
      <c r="O26" s="33">
        <v>2000</v>
      </c>
      <c r="P26" s="34">
        <f t="shared" si="1"/>
        <v>-1634.48</v>
      </c>
      <c r="Q26" s="118"/>
      <c r="R26" s="111"/>
      <c r="S26" s="85"/>
      <c r="T26" s="155" t="s">
        <v>43</v>
      </c>
      <c r="U26" s="156"/>
      <c r="V26" s="102">
        <v>5281.68</v>
      </c>
      <c r="W26" s="75"/>
      <c r="X26" s="61"/>
    </row>
    <row r="27" spans="1:28" ht="12.75" customHeight="1" x14ac:dyDescent="0.25">
      <c r="A27" s="63" t="s">
        <v>74</v>
      </c>
      <c r="B27" s="31"/>
      <c r="C27" s="31"/>
      <c r="D27" s="37"/>
      <c r="E27" s="31"/>
      <c r="F27" s="31"/>
      <c r="G27" s="31"/>
      <c r="H27" s="31"/>
      <c r="I27" s="31"/>
      <c r="J27" s="161"/>
      <c r="K27" s="31"/>
      <c r="L27" s="31"/>
      <c r="M27" s="31"/>
      <c r="N27" s="32">
        <f t="shared" si="0"/>
        <v>0</v>
      </c>
      <c r="O27" s="33">
        <v>1000</v>
      </c>
      <c r="P27" s="34">
        <f t="shared" si="1"/>
        <v>1000</v>
      </c>
      <c r="Q27" s="118"/>
      <c r="R27" s="111"/>
      <c r="S27" s="85"/>
      <c r="T27" s="155" t="s">
        <v>44</v>
      </c>
      <c r="U27" s="156"/>
      <c r="V27" s="102">
        <v>1037.3599999999999</v>
      </c>
      <c r="W27" s="75"/>
      <c r="X27" s="61"/>
    </row>
    <row r="28" spans="1:28" ht="12.75" customHeight="1" x14ac:dyDescent="0.25">
      <c r="A28" s="63" t="s">
        <v>75</v>
      </c>
      <c r="B28" s="31"/>
      <c r="C28" s="31"/>
      <c r="D28" s="37"/>
      <c r="E28" s="31"/>
      <c r="F28" s="31"/>
      <c r="G28" s="31"/>
      <c r="H28" s="31"/>
      <c r="I28" s="31"/>
      <c r="J28" s="161"/>
      <c r="K28" s="31"/>
      <c r="L28" s="31"/>
      <c r="M28" s="31"/>
      <c r="N28" s="32">
        <f t="shared" si="0"/>
        <v>0</v>
      </c>
      <c r="O28" s="33">
        <v>500</v>
      </c>
      <c r="P28" s="34">
        <f t="shared" si="1"/>
        <v>500</v>
      </c>
      <c r="Q28" s="118"/>
      <c r="R28" s="111"/>
      <c r="S28" s="85"/>
      <c r="T28" s="165" t="s">
        <v>135</v>
      </c>
      <c r="U28" s="166"/>
      <c r="V28" s="102">
        <v>5054.28</v>
      </c>
      <c r="W28" s="173">
        <f>V28+V29</f>
        <v>12380.509999999998</v>
      </c>
      <c r="X28" s="174" t="s">
        <v>144</v>
      </c>
      <c r="Y28" s="88"/>
      <c r="Z28" s="88"/>
      <c r="AA28" s="88"/>
      <c r="AB28" s="88"/>
    </row>
    <row r="29" spans="1:28" ht="12.75" customHeight="1" x14ac:dyDescent="0.25">
      <c r="A29" s="148" t="s">
        <v>76</v>
      </c>
      <c r="B29" s="31"/>
      <c r="C29" s="31">
        <f>87.15</f>
        <v>87.15</v>
      </c>
      <c r="D29" s="31">
        <v>116.52</v>
      </c>
      <c r="E29" s="31"/>
      <c r="F29" s="31">
        <v>218.69</v>
      </c>
      <c r="G29" s="31"/>
      <c r="H29" s="31"/>
      <c r="I29" s="31">
        <v>241.45</v>
      </c>
      <c r="J29" s="161"/>
      <c r="K29" s="31"/>
      <c r="L29" s="31">
        <f>121.89+127.68</f>
        <v>249.57</v>
      </c>
      <c r="M29" s="31"/>
      <c r="N29" s="32">
        <f t="shared" si="0"/>
        <v>913.37999999999988</v>
      </c>
      <c r="O29" s="33">
        <v>500</v>
      </c>
      <c r="P29" s="34">
        <f t="shared" si="1"/>
        <v>-413.37999999999988</v>
      </c>
      <c r="Q29" s="118"/>
      <c r="R29" s="111"/>
      <c r="S29" s="85"/>
      <c r="T29" s="165" t="s">
        <v>136</v>
      </c>
      <c r="U29" s="166"/>
      <c r="V29" s="102">
        <v>7326.23</v>
      </c>
      <c r="W29" s="75"/>
      <c r="X29" s="61"/>
      <c r="Y29" s="62"/>
      <c r="Z29" s="62"/>
      <c r="AA29" s="62"/>
      <c r="AB29" s="62"/>
    </row>
    <row r="30" spans="1:28" s="18" customFormat="1" ht="12.75" customHeight="1" thickBot="1" x14ac:dyDescent="0.3">
      <c r="A30" s="63" t="s">
        <v>78</v>
      </c>
      <c r="B30" s="31"/>
      <c r="C30" s="31">
        <v>7020</v>
      </c>
      <c r="D30" s="31"/>
      <c r="E30" s="31"/>
      <c r="F30" s="31"/>
      <c r="G30" s="31"/>
      <c r="H30" s="31"/>
      <c r="I30" s="31"/>
      <c r="J30" s="161"/>
      <c r="K30" s="31"/>
      <c r="L30" s="31"/>
      <c r="M30" s="31"/>
      <c r="N30" s="32">
        <f t="shared" si="0"/>
        <v>7020</v>
      </c>
      <c r="O30" s="33">
        <v>7000</v>
      </c>
      <c r="P30" s="34">
        <f t="shared" si="1"/>
        <v>-20</v>
      </c>
      <c r="Q30" s="118"/>
      <c r="R30" s="111"/>
      <c r="S30" s="85"/>
      <c r="T30" s="167" t="s">
        <v>140</v>
      </c>
      <c r="U30" s="168"/>
      <c r="V30" s="102">
        <v>0</v>
      </c>
      <c r="W30" s="75"/>
      <c r="X30" s="61"/>
      <c r="Y30" s="62"/>
      <c r="Z30" s="62"/>
      <c r="AA30" s="62"/>
      <c r="AB30" s="62"/>
    </row>
    <row r="31" spans="1:28" ht="12.75" customHeight="1" thickBot="1" x14ac:dyDescent="0.3">
      <c r="A31" s="63" t="s">
        <v>79</v>
      </c>
      <c r="B31" s="31"/>
      <c r="C31" s="31"/>
      <c r="D31" s="31"/>
      <c r="E31" s="31"/>
      <c r="F31" s="31"/>
      <c r="G31" s="31"/>
      <c r="H31" s="31"/>
      <c r="I31" s="31"/>
      <c r="J31" s="161"/>
      <c r="K31" s="31"/>
      <c r="L31" s="31"/>
      <c r="M31" s="31"/>
      <c r="N31" s="32">
        <f t="shared" si="0"/>
        <v>0</v>
      </c>
      <c r="O31" s="33">
        <v>500</v>
      </c>
      <c r="P31" s="34">
        <f t="shared" si="1"/>
        <v>500</v>
      </c>
      <c r="Q31" s="118"/>
      <c r="R31" s="111"/>
      <c r="S31" s="74"/>
      <c r="T31" s="103"/>
      <c r="U31" s="97"/>
      <c r="V31" s="104">
        <f>SUM(V23:V30)</f>
        <v>30852.25</v>
      </c>
      <c r="W31" s="75"/>
      <c r="X31" s="61"/>
      <c r="Y31" s="62"/>
      <c r="Z31" s="62"/>
      <c r="AA31" s="62"/>
      <c r="AB31" s="62"/>
    </row>
    <row r="32" spans="1:28" ht="12.75" customHeight="1" x14ac:dyDescent="0.25">
      <c r="A32" s="63" t="s">
        <v>148</v>
      </c>
      <c r="B32" s="31"/>
      <c r="C32" s="31"/>
      <c r="D32" s="31"/>
      <c r="E32" s="31"/>
      <c r="F32" s="31"/>
      <c r="G32" s="31"/>
      <c r="H32" s="31"/>
      <c r="I32" s="31"/>
      <c r="J32" s="161"/>
      <c r="K32" s="31">
        <v>915.7</v>
      </c>
      <c r="L32" s="31">
        <v>20</v>
      </c>
      <c r="M32" s="31"/>
      <c r="N32" s="32">
        <f t="shared" si="0"/>
        <v>935.7</v>
      </c>
      <c r="O32" s="33">
        <v>0</v>
      </c>
      <c r="P32" s="34">
        <f t="shared" si="1"/>
        <v>-935.7</v>
      </c>
      <c r="Q32" s="118"/>
      <c r="R32" s="111"/>
      <c r="S32" s="74"/>
      <c r="T32" s="179"/>
      <c r="U32" s="179"/>
      <c r="V32" s="180"/>
      <c r="W32" s="75"/>
      <c r="X32" s="61"/>
      <c r="Y32" s="62"/>
      <c r="Z32" s="62"/>
      <c r="AA32" s="62"/>
      <c r="AB32" s="62"/>
    </row>
    <row r="33" spans="1:28" ht="15" x14ac:dyDescent="0.25">
      <c r="A33" s="15" t="s">
        <v>7</v>
      </c>
      <c r="B33" s="38">
        <f t="shared" ref="B33:J33" si="2">SUM(B18:B32)</f>
        <v>113.72</v>
      </c>
      <c r="C33" s="38">
        <f t="shared" si="2"/>
        <v>9337.35</v>
      </c>
      <c r="D33" s="38">
        <f t="shared" si="2"/>
        <v>116.52</v>
      </c>
      <c r="E33" s="38">
        <f t="shared" si="2"/>
        <v>6841.42</v>
      </c>
      <c r="F33" s="38">
        <f t="shared" si="2"/>
        <v>5352.53</v>
      </c>
      <c r="G33" s="38">
        <f t="shared" si="2"/>
        <v>1156.25</v>
      </c>
      <c r="H33" s="38">
        <f t="shared" si="2"/>
        <v>147.9</v>
      </c>
      <c r="I33" s="38">
        <f t="shared" si="2"/>
        <v>555.45000000000005</v>
      </c>
      <c r="J33" s="38">
        <f t="shared" si="2"/>
        <v>0</v>
      </c>
      <c r="K33" s="38">
        <f>SUM(K18:K32)</f>
        <v>1110.81</v>
      </c>
      <c r="L33" s="38">
        <f>SUM(L18:L32)</f>
        <v>2718.07</v>
      </c>
      <c r="M33" s="38">
        <f>SUM(M18:M31)</f>
        <v>231.2</v>
      </c>
      <c r="N33" s="39">
        <f>SUM(N18:N32)</f>
        <v>27681.22</v>
      </c>
      <c r="O33" s="40">
        <f>SUM(O18:O32)</f>
        <v>38900</v>
      </c>
      <c r="P33" s="41">
        <f>SUM(P18:P32)</f>
        <v>11218.78</v>
      </c>
      <c r="Q33" s="113"/>
      <c r="R33" s="111"/>
      <c r="S33" s="74"/>
      <c r="W33" s="75"/>
      <c r="X33" s="92"/>
      <c r="Y33" s="62"/>
      <c r="Z33" s="62"/>
      <c r="AA33" s="62"/>
      <c r="AB33" s="62"/>
    </row>
    <row r="34" spans="1:28" ht="12.75" customHeight="1" x14ac:dyDescent="0.25">
      <c r="A34" s="56"/>
      <c r="B34" s="42"/>
      <c r="C34" s="42"/>
      <c r="D34" s="42"/>
      <c r="E34" s="42"/>
      <c r="F34" s="42"/>
      <c r="G34" s="42"/>
      <c r="H34" s="42"/>
      <c r="I34" s="42"/>
      <c r="J34" s="162"/>
      <c r="K34" s="42"/>
      <c r="L34" s="42"/>
      <c r="M34" s="42"/>
      <c r="N34" s="42"/>
      <c r="O34" s="129"/>
      <c r="P34" s="42"/>
      <c r="Q34" s="113"/>
      <c r="R34" s="111"/>
      <c r="S34" s="74"/>
      <c r="T34" s="82"/>
      <c r="U34" s="61"/>
      <c r="V34" s="74"/>
      <c r="W34" s="75"/>
      <c r="X34" s="61"/>
      <c r="Y34" s="62"/>
      <c r="Z34" s="62"/>
      <c r="AA34" s="62"/>
      <c r="AB34" s="62"/>
    </row>
    <row r="35" spans="1:28" s="57" customFormat="1" ht="12.75" customHeight="1" x14ac:dyDescent="0.25">
      <c r="A35" s="58" t="s">
        <v>11</v>
      </c>
      <c r="B35" s="44"/>
      <c r="C35" s="44"/>
      <c r="D35" s="44"/>
      <c r="E35" s="44"/>
      <c r="F35" s="44"/>
      <c r="G35" s="44"/>
      <c r="H35" s="44"/>
      <c r="I35" s="44"/>
      <c r="J35" s="163"/>
      <c r="K35" s="44"/>
      <c r="L35" s="44"/>
      <c r="M35" s="44"/>
      <c r="N35" s="44"/>
      <c r="O35" s="44"/>
      <c r="P35" s="44"/>
      <c r="Q35" s="115"/>
      <c r="R35" s="111"/>
      <c r="S35" s="74"/>
      <c r="T35" s="169"/>
      <c r="U35" s="61"/>
      <c r="V35" s="74"/>
      <c r="W35" s="75"/>
      <c r="X35" s="61"/>
      <c r="Y35" s="62"/>
      <c r="Z35" s="62"/>
      <c r="AA35" s="62"/>
      <c r="AB35" s="62"/>
    </row>
    <row r="36" spans="1:28" s="57" customFormat="1" ht="12.75" customHeight="1" x14ac:dyDescent="0.25">
      <c r="A36" s="63" t="s">
        <v>81</v>
      </c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>
        <v>83.91</v>
      </c>
      <c r="M36" s="31">
        <f>212.05+1769.92+99.87</f>
        <v>2081.84</v>
      </c>
      <c r="N36" s="32">
        <f t="shared" ref="N36:N62" si="3">SUM(B36:M36)</f>
        <v>2165.75</v>
      </c>
      <c r="O36" s="33">
        <v>0</v>
      </c>
      <c r="P36" s="34">
        <f>O36-N36</f>
        <v>-2165.75</v>
      </c>
      <c r="Q36" s="118"/>
      <c r="R36" s="111"/>
      <c r="S36" s="74"/>
      <c r="T36" s="82"/>
      <c r="U36" s="61"/>
      <c r="V36" s="74"/>
      <c r="W36" s="75"/>
      <c r="X36" s="61"/>
      <c r="Y36" s="89"/>
      <c r="Z36" s="89"/>
      <c r="AA36" s="89"/>
      <c r="AB36" s="89"/>
    </row>
    <row r="37" spans="1:28" ht="12.75" customHeight="1" x14ac:dyDescent="0.25">
      <c r="A37" s="63" t="s">
        <v>82</v>
      </c>
      <c r="B37" s="31"/>
      <c r="C37" s="31"/>
      <c r="D37" s="31"/>
      <c r="E37" s="31"/>
      <c r="F37" s="31"/>
      <c r="G37" s="31"/>
      <c r="H37" s="31"/>
      <c r="I37" s="31">
        <v>477.08</v>
      </c>
      <c r="J37" s="31"/>
      <c r="K37" s="31"/>
      <c r="L37" s="127"/>
      <c r="M37" s="127"/>
      <c r="N37" s="32">
        <f t="shared" si="3"/>
        <v>477.08</v>
      </c>
      <c r="O37" s="33">
        <v>1500</v>
      </c>
      <c r="P37" s="34">
        <f t="shared" ref="P37:P54" si="4">O37-N37</f>
        <v>1022.9200000000001</v>
      </c>
      <c r="Q37" s="118"/>
      <c r="R37" s="111"/>
      <c r="S37" s="74"/>
      <c r="T37" s="82"/>
      <c r="U37" s="61"/>
      <c r="V37" s="74"/>
      <c r="W37" s="75"/>
      <c r="X37" s="61"/>
      <c r="Y37" s="89"/>
      <c r="Z37" s="89"/>
      <c r="AA37" s="89"/>
      <c r="AB37" s="89"/>
    </row>
    <row r="38" spans="1:28" ht="12.75" customHeight="1" x14ac:dyDescent="0.25">
      <c r="A38" s="63" t="s">
        <v>83</v>
      </c>
      <c r="B38" s="31"/>
      <c r="C38" s="31"/>
      <c r="D38" s="31"/>
      <c r="E38" s="31"/>
      <c r="F38" s="31"/>
      <c r="G38" s="31"/>
      <c r="H38" s="31">
        <v>1350</v>
      </c>
      <c r="I38" s="31"/>
      <c r="J38" s="31"/>
      <c r="K38" s="31"/>
      <c r="L38" s="31"/>
      <c r="M38" s="31"/>
      <c r="N38" s="32">
        <f t="shared" si="3"/>
        <v>1350</v>
      </c>
      <c r="O38" s="33">
        <v>2000</v>
      </c>
      <c r="P38" s="34">
        <f t="shared" si="4"/>
        <v>650</v>
      </c>
      <c r="Q38" s="118"/>
      <c r="R38" s="111"/>
      <c r="S38" s="74"/>
      <c r="T38" s="82"/>
      <c r="U38" s="61"/>
      <c r="V38" s="74"/>
      <c r="W38" s="75"/>
      <c r="X38" s="61"/>
      <c r="Y38" s="62"/>
      <c r="Z38" s="62"/>
      <c r="AA38" s="62"/>
      <c r="AB38" s="62"/>
    </row>
    <row r="39" spans="1:28" ht="12.75" customHeight="1" x14ac:dyDescent="0.25">
      <c r="A39" s="63" t="s">
        <v>84</v>
      </c>
      <c r="B39" s="31"/>
      <c r="C39" s="31"/>
      <c r="D39" s="31"/>
      <c r="E39" s="31"/>
      <c r="F39" s="31"/>
      <c r="G39" s="31"/>
      <c r="H39" s="31">
        <v>1488.73</v>
      </c>
      <c r="I39" s="31">
        <v>85.27</v>
      </c>
      <c r="J39" s="31"/>
      <c r="K39" s="31"/>
      <c r="L39" s="31"/>
      <c r="M39" s="31"/>
      <c r="N39" s="32">
        <f t="shared" si="3"/>
        <v>1574</v>
      </c>
      <c r="O39" s="33">
        <v>1574</v>
      </c>
      <c r="P39" s="34">
        <f t="shared" si="4"/>
        <v>0</v>
      </c>
      <c r="Q39" s="118"/>
      <c r="R39" s="111"/>
      <c r="S39" s="74"/>
      <c r="T39" s="82"/>
      <c r="U39" s="61"/>
      <c r="V39" s="74"/>
      <c r="W39" s="76"/>
      <c r="X39" s="61"/>
      <c r="Y39" s="62"/>
      <c r="Z39" s="62"/>
      <c r="AA39" s="62"/>
      <c r="AB39" s="62"/>
    </row>
    <row r="40" spans="1:28" ht="12.75" customHeight="1" x14ac:dyDescent="0.25">
      <c r="A40" s="63" t="s">
        <v>127</v>
      </c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2">
        <f t="shared" si="3"/>
        <v>0</v>
      </c>
      <c r="O40" s="33">
        <v>4000</v>
      </c>
      <c r="P40" s="34">
        <f t="shared" si="4"/>
        <v>4000</v>
      </c>
      <c r="Q40" s="118"/>
      <c r="R40" s="111"/>
      <c r="S40" s="74"/>
      <c r="T40" s="82"/>
      <c r="U40" s="61"/>
      <c r="V40" s="74"/>
      <c r="W40" s="76"/>
      <c r="X40" s="77"/>
      <c r="Y40" s="62"/>
      <c r="Z40" s="62"/>
      <c r="AA40" s="62"/>
      <c r="AB40" s="62"/>
    </row>
    <row r="41" spans="1:28" ht="12.75" customHeight="1" x14ac:dyDescent="0.25">
      <c r="A41" s="63" t="s">
        <v>139</v>
      </c>
      <c r="B41" s="31"/>
      <c r="C41" s="31"/>
      <c r="D41" s="31"/>
      <c r="E41" s="31"/>
      <c r="F41" s="31"/>
      <c r="G41" s="31"/>
      <c r="H41" s="31"/>
      <c r="I41" s="31">
        <v>60</v>
      </c>
      <c r="J41" s="31">
        <v>17.5</v>
      </c>
      <c r="K41" s="31"/>
      <c r="L41" s="31">
        <f>280.87+139.97</f>
        <v>420.84000000000003</v>
      </c>
      <c r="M41" s="31"/>
      <c r="N41" s="32">
        <f t="shared" si="3"/>
        <v>498.34000000000003</v>
      </c>
      <c r="O41" s="33">
        <v>500</v>
      </c>
      <c r="P41" s="34">
        <f>O41-N41</f>
        <v>1.6599999999999682</v>
      </c>
      <c r="Q41" s="118"/>
      <c r="R41" s="172"/>
      <c r="S41" s="74"/>
      <c r="T41" s="75"/>
      <c r="U41" s="61"/>
      <c r="V41" s="74"/>
      <c r="W41" s="76"/>
      <c r="X41" s="77"/>
      <c r="Y41" s="62"/>
      <c r="Z41" s="62"/>
      <c r="AA41" s="62"/>
      <c r="AB41" s="62"/>
    </row>
    <row r="42" spans="1:28" ht="12.75" customHeight="1" x14ac:dyDescent="0.25">
      <c r="A42" s="63" t="s">
        <v>85</v>
      </c>
      <c r="B42" s="31"/>
      <c r="C42" s="31"/>
      <c r="D42" s="31"/>
      <c r="E42" s="31"/>
      <c r="F42" s="31"/>
      <c r="G42" s="31">
        <v>241</v>
      </c>
      <c r="H42" s="31">
        <v>25.5</v>
      </c>
      <c r="I42" s="31">
        <v>38.5</v>
      </c>
      <c r="J42" s="161">
        <v>78</v>
      </c>
      <c r="K42" s="161">
        <v>526.36</v>
      </c>
      <c r="L42" s="31">
        <v>87</v>
      </c>
      <c r="M42" s="31"/>
      <c r="N42" s="32">
        <f t="shared" si="3"/>
        <v>996.36</v>
      </c>
      <c r="O42" s="33">
        <v>958</v>
      </c>
      <c r="P42" s="34">
        <f t="shared" si="4"/>
        <v>-38.360000000000014</v>
      </c>
      <c r="Q42" s="118"/>
      <c r="R42" s="172"/>
      <c r="S42" s="74"/>
      <c r="T42" s="82"/>
      <c r="U42" s="86"/>
      <c r="V42" s="74"/>
      <c r="W42" s="76"/>
      <c r="X42" s="77"/>
      <c r="Y42" s="62"/>
      <c r="Z42" s="62"/>
      <c r="AA42" s="62"/>
      <c r="AB42" s="62"/>
    </row>
    <row r="43" spans="1:28" ht="12.75" customHeight="1" x14ac:dyDescent="0.25">
      <c r="A43" s="63" t="s">
        <v>70</v>
      </c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2">
        <f t="shared" si="3"/>
        <v>0</v>
      </c>
      <c r="O43" s="33">
        <v>20</v>
      </c>
      <c r="P43" s="34">
        <f t="shared" si="4"/>
        <v>20</v>
      </c>
      <c r="Q43" s="118"/>
      <c r="R43" s="172"/>
      <c r="S43" s="74"/>
      <c r="T43" s="83"/>
      <c r="U43" s="61"/>
      <c r="V43" s="74"/>
      <c r="W43" s="62"/>
      <c r="X43" s="62"/>
      <c r="Y43" s="62"/>
      <c r="Z43" s="62"/>
      <c r="AA43" s="62"/>
      <c r="AB43" s="62"/>
    </row>
    <row r="44" spans="1:28" ht="12.75" customHeight="1" x14ac:dyDescent="0.25">
      <c r="A44" s="63" t="s">
        <v>130</v>
      </c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2">
        <f t="shared" si="3"/>
        <v>0</v>
      </c>
      <c r="O44" s="33">
        <v>350</v>
      </c>
      <c r="P44" s="34">
        <f t="shared" si="4"/>
        <v>350</v>
      </c>
      <c r="Q44" s="118"/>
      <c r="R44" s="111"/>
      <c r="S44" s="74"/>
      <c r="T44" s="83"/>
      <c r="U44" s="61"/>
      <c r="V44" s="74"/>
      <c r="W44" s="72"/>
      <c r="X44" s="90"/>
      <c r="Y44" s="62"/>
      <c r="Z44" s="62"/>
      <c r="AA44" s="62"/>
      <c r="AB44" s="62"/>
    </row>
    <row r="45" spans="1:28" ht="12.75" customHeight="1" thickBot="1" x14ac:dyDescent="0.3">
      <c r="A45" s="63" t="s">
        <v>131</v>
      </c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>
        <v>230</v>
      </c>
      <c r="N45" s="32">
        <f t="shared" si="3"/>
        <v>230</v>
      </c>
      <c r="O45" s="33">
        <v>230</v>
      </c>
      <c r="P45" s="34">
        <f>O45-N45</f>
        <v>0</v>
      </c>
      <c r="Q45" s="118"/>
      <c r="R45" s="111"/>
      <c r="S45" s="74"/>
      <c r="T45" s="83"/>
      <c r="U45" s="61"/>
      <c r="V45" s="74"/>
      <c r="W45" s="72"/>
      <c r="X45" s="90"/>
      <c r="Y45" s="62"/>
      <c r="Z45" s="62"/>
      <c r="AA45" s="62"/>
      <c r="AB45" s="62"/>
    </row>
    <row r="46" spans="1:28" ht="12.75" customHeight="1" x14ac:dyDescent="0.25">
      <c r="A46" s="63" t="s">
        <v>86</v>
      </c>
      <c r="B46" s="31"/>
      <c r="C46" s="31"/>
      <c r="D46" s="35"/>
      <c r="E46" s="31"/>
      <c r="F46" s="31"/>
      <c r="G46" s="31"/>
      <c r="H46" s="31"/>
      <c r="I46" s="31"/>
      <c r="J46" s="31"/>
      <c r="K46" s="31"/>
      <c r="L46" s="31"/>
      <c r="M46" s="31"/>
      <c r="N46" s="32">
        <f t="shared" si="3"/>
        <v>0</v>
      </c>
      <c r="O46" s="33">
        <v>100</v>
      </c>
      <c r="P46" s="34">
        <f t="shared" si="4"/>
        <v>100</v>
      </c>
      <c r="Q46" s="118"/>
      <c r="R46" s="111"/>
      <c r="S46" s="175" t="s">
        <v>145</v>
      </c>
      <c r="T46" s="176"/>
      <c r="U46" s="177"/>
      <c r="V46" s="62"/>
      <c r="W46" s="62"/>
      <c r="X46" s="62"/>
      <c r="Y46" s="62"/>
      <c r="Z46" s="62"/>
      <c r="AA46" s="62"/>
      <c r="AB46" s="62"/>
    </row>
    <row r="47" spans="1:28" ht="12.75" customHeight="1" x14ac:dyDescent="0.25">
      <c r="A47" s="63" t="s">
        <v>87</v>
      </c>
      <c r="B47" s="31"/>
      <c r="C47" s="31"/>
      <c r="D47" s="35"/>
      <c r="E47" s="31"/>
      <c r="F47" s="31">
        <v>496.41</v>
      </c>
      <c r="G47" s="31">
        <v>53.17</v>
      </c>
      <c r="H47" s="31">
        <v>335.1</v>
      </c>
      <c r="I47" s="31">
        <v>124.63</v>
      </c>
      <c r="J47" s="31"/>
      <c r="K47" s="31"/>
      <c r="L47" s="31"/>
      <c r="M47" s="31">
        <f>124.03+50+150+14.86+58.12</f>
        <v>397.01</v>
      </c>
      <c r="N47" s="32">
        <f t="shared" si="3"/>
        <v>1406.3200000000002</v>
      </c>
      <c r="O47" s="33">
        <v>2250</v>
      </c>
      <c r="P47" s="34">
        <f t="shared" si="4"/>
        <v>843.67999999999984</v>
      </c>
      <c r="Q47" s="118"/>
      <c r="R47" s="111"/>
      <c r="S47" s="98" t="s">
        <v>55</v>
      </c>
      <c r="T47" s="94" t="s">
        <v>62</v>
      </c>
      <c r="U47" s="99" t="s">
        <v>63</v>
      </c>
      <c r="V47" s="72"/>
      <c r="W47" s="62"/>
      <c r="X47" s="62"/>
      <c r="Y47" s="62"/>
      <c r="Z47" s="62"/>
      <c r="AA47" s="62"/>
      <c r="AB47" s="62"/>
    </row>
    <row r="48" spans="1:28" ht="12.75" customHeight="1" x14ac:dyDescent="0.25">
      <c r="A48" s="63" t="s">
        <v>88</v>
      </c>
      <c r="B48" s="31"/>
      <c r="C48" s="31"/>
      <c r="D48" s="35"/>
      <c r="E48" s="31"/>
      <c r="F48" s="31"/>
      <c r="G48" s="31"/>
      <c r="H48" s="31"/>
      <c r="I48" s="31"/>
      <c r="J48" s="31"/>
      <c r="K48" s="31">
        <v>250</v>
      </c>
      <c r="L48" s="31"/>
      <c r="M48" s="31"/>
      <c r="N48" s="32">
        <f t="shared" si="3"/>
        <v>250</v>
      </c>
      <c r="O48" s="33">
        <v>250</v>
      </c>
      <c r="P48" s="34">
        <f t="shared" si="4"/>
        <v>0</v>
      </c>
      <c r="Q48" s="118"/>
      <c r="R48" s="111"/>
      <c r="S48" s="100" t="s">
        <v>5</v>
      </c>
      <c r="T48" s="131" t="s">
        <v>51</v>
      </c>
      <c r="U48" s="142">
        <f>400.55+299.45</f>
        <v>700</v>
      </c>
      <c r="V48" s="183">
        <f>700-U48</f>
        <v>0</v>
      </c>
      <c r="W48" s="62"/>
      <c r="X48" s="62"/>
      <c r="Y48" s="62"/>
      <c r="Z48" s="62"/>
      <c r="AA48" s="62"/>
      <c r="AB48" s="62"/>
    </row>
    <row r="49" spans="1:28" ht="12.75" customHeight="1" x14ac:dyDescent="0.25">
      <c r="A49" s="63" t="s">
        <v>129</v>
      </c>
      <c r="B49" s="31"/>
      <c r="C49" s="31"/>
      <c r="D49" s="35"/>
      <c r="E49" s="31"/>
      <c r="F49" s="31"/>
      <c r="G49" s="31"/>
      <c r="H49" s="31"/>
      <c r="I49" s="31"/>
      <c r="J49" s="31"/>
      <c r="K49" s="31"/>
      <c r="L49" s="31"/>
      <c r="M49" s="31">
        <v>733.6</v>
      </c>
      <c r="N49" s="32">
        <f t="shared" si="3"/>
        <v>733.6</v>
      </c>
      <c r="O49" s="33">
        <v>1000</v>
      </c>
      <c r="P49" s="34">
        <f>O49-N49</f>
        <v>266.39999999999998</v>
      </c>
      <c r="Q49" s="118"/>
      <c r="R49" s="111"/>
      <c r="S49" s="101" t="s">
        <v>5</v>
      </c>
      <c r="T49" s="132" t="s">
        <v>46</v>
      </c>
      <c r="U49" s="144">
        <v>700</v>
      </c>
      <c r="V49" s="62"/>
      <c r="W49" s="62"/>
      <c r="X49" s="62"/>
    </row>
    <row r="50" spans="1:28" ht="12.75" customHeight="1" x14ac:dyDescent="0.25">
      <c r="A50" s="150" t="s">
        <v>89</v>
      </c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2">
        <f t="shared" si="3"/>
        <v>0</v>
      </c>
      <c r="O50" s="33">
        <v>750</v>
      </c>
      <c r="P50" s="34">
        <f t="shared" si="4"/>
        <v>750</v>
      </c>
      <c r="Q50" s="118"/>
      <c r="R50" s="111"/>
      <c r="S50" s="101" t="s">
        <v>133</v>
      </c>
      <c r="T50" s="132" t="s">
        <v>6</v>
      </c>
      <c r="U50" s="143">
        <v>700</v>
      </c>
      <c r="V50" s="62"/>
      <c r="W50" s="62"/>
      <c r="X50" s="62"/>
    </row>
    <row r="51" spans="1:28" ht="12.75" customHeight="1" x14ac:dyDescent="0.25">
      <c r="A51" s="150" t="s">
        <v>90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2">
        <f t="shared" si="3"/>
        <v>0</v>
      </c>
      <c r="O51" s="33">
        <v>50</v>
      </c>
      <c r="P51" s="34">
        <f t="shared" si="4"/>
        <v>50</v>
      </c>
      <c r="Q51" s="118"/>
      <c r="R51" s="111"/>
      <c r="S51" s="101" t="s">
        <v>9</v>
      </c>
      <c r="T51" s="132" t="s">
        <v>12</v>
      </c>
      <c r="U51" s="143">
        <v>616.71</v>
      </c>
      <c r="V51" s="62"/>
      <c r="W51" s="87"/>
      <c r="X51" s="87"/>
    </row>
    <row r="52" spans="1:28" ht="12.75" customHeight="1" x14ac:dyDescent="0.25">
      <c r="A52" s="151" t="s">
        <v>91</v>
      </c>
      <c r="B52" s="91"/>
      <c r="C52" s="91"/>
      <c r="D52" s="91"/>
      <c r="E52" s="91">
        <v>126.43</v>
      </c>
      <c r="F52" s="91"/>
      <c r="G52" s="91">
        <v>48</v>
      </c>
      <c r="H52" s="91"/>
      <c r="I52" s="91"/>
      <c r="J52" s="91"/>
      <c r="K52" s="91"/>
      <c r="L52" s="91"/>
      <c r="M52" s="91">
        <v>215</v>
      </c>
      <c r="N52" s="124">
        <f t="shared" si="3"/>
        <v>389.43</v>
      </c>
      <c r="O52" s="125">
        <v>300</v>
      </c>
      <c r="P52" s="34">
        <f t="shared" si="4"/>
        <v>-89.43</v>
      </c>
      <c r="Q52" s="118"/>
      <c r="R52" s="111"/>
      <c r="S52" s="101" t="s">
        <v>9</v>
      </c>
      <c r="T52" s="132" t="s">
        <v>36</v>
      </c>
      <c r="U52" s="143">
        <v>694.22</v>
      </c>
      <c r="V52" s="62"/>
      <c r="W52" s="62"/>
      <c r="X52" s="62"/>
    </row>
    <row r="53" spans="1:28" s="19" customFormat="1" ht="12.75" customHeight="1" x14ac:dyDescent="0.25">
      <c r="A53" s="151" t="s">
        <v>92</v>
      </c>
      <c r="B53" s="91"/>
      <c r="C53" s="91"/>
      <c r="D53" s="91"/>
      <c r="E53" s="91"/>
      <c r="F53" s="91"/>
      <c r="G53" s="91"/>
      <c r="H53" s="91"/>
      <c r="I53" s="91"/>
      <c r="J53" s="91"/>
      <c r="K53" s="91"/>
      <c r="L53" s="91"/>
      <c r="M53" s="91"/>
      <c r="N53" s="124">
        <f t="shared" si="3"/>
        <v>0</v>
      </c>
      <c r="O53" s="125">
        <v>200</v>
      </c>
      <c r="P53" s="34">
        <f t="shared" si="4"/>
        <v>200</v>
      </c>
      <c r="Q53" s="118"/>
      <c r="R53" s="111"/>
      <c r="S53" s="101" t="s">
        <v>13</v>
      </c>
      <c r="T53" s="132" t="s">
        <v>10</v>
      </c>
      <c r="U53" s="143">
        <v>630</v>
      </c>
      <c r="V53" s="62"/>
      <c r="W53" s="62"/>
      <c r="X53" s="62"/>
      <c r="Y53"/>
      <c r="Z53"/>
      <c r="AA53"/>
      <c r="AB53"/>
    </row>
    <row r="54" spans="1:28" ht="12.75" customHeight="1" x14ac:dyDescent="0.25">
      <c r="A54" s="152" t="s">
        <v>138</v>
      </c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>
        <v>209.88</v>
      </c>
      <c r="M54" s="47"/>
      <c r="N54" s="48">
        <f t="shared" si="3"/>
        <v>209.88</v>
      </c>
      <c r="O54" s="49">
        <v>200</v>
      </c>
      <c r="P54" s="50">
        <f t="shared" si="4"/>
        <v>-9.8799999999999955</v>
      </c>
      <c r="Q54" s="118"/>
      <c r="R54" s="111"/>
      <c r="S54" s="101" t="s">
        <v>13</v>
      </c>
      <c r="T54" s="132" t="s">
        <v>58</v>
      </c>
      <c r="U54" s="143">
        <v>630</v>
      </c>
      <c r="V54" s="87"/>
      <c r="W54" s="62"/>
      <c r="X54" s="62"/>
      <c r="Y54" s="19"/>
      <c r="Z54" s="19"/>
      <c r="AA54" s="19"/>
      <c r="AB54" s="19"/>
    </row>
    <row r="55" spans="1:28" ht="12.75" customHeight="1" x14ac:dyDescent="0.25">
      <c r="A55" s="153" t="s">
        <v>93</v>
      </c>
      <c r="B55" s="31"/>
      <c r="C55" s="31"/>
      <c r="D55" s="31"/>
      <c r="E55" s="31"/>
      <c r="F55" s="31"/>
      <c r="G55" s="31"/>
      <c r="H55" s="31"/>
      <c r="I55" s="31">
        <v>69.94</v>
      </c>
      <c r="J55" s="31">
        <v>437.44</v>
      </c>
      <c r="K55" s="31"/>
      <c r="L55" s="31"/>
      <c r="M55" s="31"/>
      <c r="N55" s="32">
        <f t="shared" si="3"/>
        <v>507.38</v>
      </c>
      <c r="O55" s="33">
        <v>0</v>
      </c>
      <c r="P55" s="34">
        <f>O55-N55</f>
        <v>-507.38</v>
      </c>
      <c r="Q55" s="118"/>
      <c r="R55" s="111"/>
      <c r="S55" s="101" t="s">
        <v>15</v>
      </c>
      <c r="T55" s="132" t="s">
        <v>21</v>
      </c>
      <c r="U55" s="143">
        <f>374.98+278.22+46.8</f>
        <v>700</v>
      </c>
      <c r="V55" s="1"/>
    </row>
    <row r="56" spans="1:28" ht="12.75" customHeight="1" x14ac:dyDescent="0.25">
      <c r="A56" s="63" t="s">
        <v>99</v>
      </c>
      <c r="B56" s="31"/>
      <c r="C56" s="31"/>
      <c r="D56" s="31"/>
      <c r="E56" s="31"/>
      <c r="F56" s="31"/>
      <c r="G56" s="31"/>
      <c r="H56" s="31"/>
      <c r="I56" s="31"/>
      <c r="J56" s="31"/>
      <c r="K56" s="31">
        <v>700</v>
      </c>
      <c r="L56" s="31">
        <v>1100.55</v>
      </c>
      <c r="M56" s="31">
        <v>299.45</v>
      </c>
      <c r="N56" s="32">
        <f t="shared" si="3"/>
        <v>2100</v>
      </c>
      <c r="O56" s="33">
        <v>1875</v>
      </c>
      <c r="P56" s="34">
        <f>O56-N56</f>
        <v>-225</v>
      </c>
      <c r="Q56" s="118"/>
      <c r="R56" s="111"/>
      <c r="S56" s="101" t="s">
        <v>15</v>
      </c>
      <c r="T56" s="132" t="s">
        <v>52</v>
      </c>
      <c r="U56" s="143">
        <f>346.09+278.22+64.7</f>
        <v>689.01</v>
      </c>
      <c r="V56" s="1"/>
    </row>
    <row r="57" spans="1:28" ht="12.75" customHeight="1" x14ac:dyDescent="0.25">
      <c r="A57" s="63" t="s">
        <v>94</v>
      </c>
      <c r="B57" s="31"/>
      <c r="C57" s="31"/>
      <c r="D57" s="31"/>
      <c r="E57" s="31"/>
      <c r="F57" s="31"/>
      <c r="G57" s="31"/>
      <c r="H57" s="31"/>
      <c r="I57" s="161"/>
      <c r="J57" s="31"/>
      <c r="K57" s="31"/>
      <c r="L57" s="31"/>
      <c r="M57" s="31">
        <f>616.71+694.22</f>
        <v>1310.93</v>
      </c>
      <c r="N57" s="32">
        <f t="shared" si="3"/>
        <v>1310.93</v>
      </c>
      <c r="O57" s="33">
        <v>1875</v>
      </c>
      <c r="P57" s="34">
        <f>O57-N57</f>
        <v>564.06999999999994</v>
      </c>
      <c r="Q57" s="170"/>
      <c r="R57" s="111"/>
      <c r="S57" s="101" t="s">
        <v>15</v>
      </c>
      <c r="T57" s="132" t="s">
        <v>17</v>
      </c>
      <c r="U57" s="143">
        <f>270.61+278.22+64.7</f>
        <v>613.53000000000009</v>
      </c>
      <c r="V57" s="1"/>
    </row>
    <row r="58" spans="1:28" ht="12.75" customHeight="1" x14ac:dyDescent="0.25">
      <c r="A58" s="63" t="s">
        <v>95</v>
      </c>
      <c r="B58" s="31"/>
      <c r="C58" s="31"/>
      <c r="D58" s="31"/>
      <c r="E58" s="31"/>
      <c r="F58" s="31"/>
      <c r="G58" s="31"/>
      <c r="H58" s="31"/>
      <c r="I58" s="31"/>
      <c r="J58" s="31"/>
      <c r="K58" s="31">
        <v>1260</v>
      </c>
      <c r="L58" s="37"/>
      <c r="M58" s="31"/>
      <c r="N58" s="32">
        <f t="shared" si="3"/>
        <v>1260</v>
      </c>
      <c r="O58" s="33">
        <v>1875</v>
      </c>
      <c r="P58" s="34">
        <f t="shared" ref="P58:P89" si="5">O58-N58</f>
        <v>615</v>
      </c>
      <c r="Q58" s="118"/>
      <c r="R58" s="111"/>
      <c r="S58" s="101" t="s">
        <v>18</v>
      </c>
      <c r="T58" s="132" t="s">
        <v>19</v>
      </c>
      <c r="U58" s="143">
        <f>9.84+238.39</f>
        <v>248.23</v>
      </c>
    </row>
    <row r="59" spans="1:28" ht="12.75" customHeight="1" x14ac:dyDescent="0.25">
      <c r="A59" s="63" t="s">
        <v>96</v>
      </c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>
        <f>991.68+834.66</f>
        <v>1826.34</v>
      </c>
      <c r="M59" s="31">
        <v>176.2</v>
      </c>
      <c r="N59" s="32">
        <f t="shared" si="3"/>
        <v>2002.54</v>
      </c>
      <c r="O59" s="33">
        <v>1875</v>
      </c>
      <c r="P59" s="34">
        <f t="shared" si="5"/>
        <v>-127.53999999999996</v>
      </c>
      <c r="Q59" s="118"/>
      <c r="R59" s="111"/>
      <c r="S59" s="101" t="s">
        <v>18</v>
      </c>
      <c r="T59" s="132" t="s">
        <v>47</v>
      </c>
      <c r="U59" s="143">
        <f>96.92+591.82</f>
        <v>688.74</v>
      </c>
    </row>
    <row r="60" spans="1:28" ht="12.75" customHeight="1" x14ac:dyDescent="0.25">
      <c r="A60" s="63" t="s">
        <v>97</v>
      </c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>
        <f>9.84+96.92+591.82</f>
        <v>698.58</v>
      </c>
      <c r="M60" s="31">
        <v>238.39</v>
      </c>
      <c r="N60" s="32">
        <f t="shared" si="3"/>
        <v>936.97</v>
      </c>
      <c r="O60" s="33">
        <v>1875</v>
      </c>
      <c r="P60" s="34">
        <f t="shared" si="5"/>
        <v>938.03</v>
      </c>
      <c r="Q60" s="118"/>
      <c r="R60" s="111"/>
      <c r="S60" s="101" t="s">
        <v>20</v>
      </c>
      <c r="T60" s="132" t="s">
        <v>56</v>
      </c>
      <c r="U60" s="143"/>
    </row>
    <row r="61" spans="1:28" ht="12.75" customHeight="1" x14ac:dyDescent="0.25">
      <c r="A61" s="63" t="s">
        <v>98</v>
      </c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>
        <v>294.02</v>
      </c>
      <c r="M61" s="31">
        <f>257.26</f>
        <v>257.26</v>
      </c>
      <c r="N61" s="32">
        <f t="shared" si="3"/>
        <v>551.28</v>
      </c>
      <c r="O61" s="33">
        <v>1875</v>
      </c>
      <c r="P61" s="34">
        <f>O61-N61</f>
        <v>1323.72</v>
      </c>
      <c r="Q61" s="118"/>
      <c r="R61" s="111"/>
      <c r="S61" s="101" t="s">
        <v>20</v>
      </c>
      <c r="T61" s="133" t="s">
        <v>45</v>
      </c>
      <c r="U61" s="143">
        <v>294.02</v>
      </c>
    </row>
    <row r="62" spans="1:28" ht="12.75" customHeight="1" thickBot="1" x14ac:dyDescent="0.3">
      <c r="A62" s="63" t="s">
        <v>100</v>
      </c>
      <c r="B62" s="31"/>
      <c r="C62" s="31"/>
      <c r="D62" s="35"/>
      <c r="E62" s="31"/>
      <c r="F62" s="31"/>
      <c r="G62" s="31"/>
      <c r="H62" s="31"/>
      <c r="I62" s="31"/>
      <c r="J62" s="31"/>
      <c r="K62" s="31"/>
      <c r="L62" s="31"/>
      <c r="M62" s="31"/>
      <c r="N62" s="32">
        <f t="shared" si="3"/>
        <v>0</v>
      </c>
      <c r="O62" s="33">
        <v>500</v>
      </c>
      <c r="P62" s="34">
        <f>O62-N62</f>
        <v>500</v>
      </c>
      <c r="Q62" s="118"/>
      <c r="R62" s="111"/>
      <c r="S62" s="101" t="s">
        <v>20</v>
      </c>
      <c r="T62" s="133" t="s">
        <v>54</v>
      </c>
      <c r="U62" s="143">
        <v>257.26</v>
      </c>
    </row>
    <row r="63" spans="1:28" ht="12.75" customHeight="1" thickBot="1" x14ac:dyDescent="0.3">
      <c r="A63" s="65" t="s">
        <v>101</v>
      </c>
      <c r="B63" s="51">
        <f t="shared" ref="B63:P63" si="6">SUM(B55:B62)</f>
        <v>0</v>
      </c>
      <c r="C63" s="51">
        <f t="shared" si="6"/>
        <v>0</v>
      </c>
      <c r="D63" s="51">
        <f t="shared" si="6"/>
        <v>0</v>
      </c>
      <c r="E63" s="51">
        <f t="shared" si="6"/>
        <v>0</v>
      </c>
      <c r="F63" s="51">
        <f t="shared" si="6"/>
        <v>0</v>
      </c>
      <c r="G63" s="51">
        <f t="shared" si="6"/>
        <v>0</v>
      </c>
      <c r="H63" s="51">
        <f t="shared" si="6"/>
        <v>0</v>
      </c>
      <c r="I63" s="51">
        <f t="shared" si="6"/>
        <v>69.94</v>
      </c>
      <c r="J63" s="51">
        <f t="shared" si="6"/>
        <v>437.44</v>
      </c>
      <c r="K63" s="51">
        <f t="shared" si="6"/>
        <v>1960</v>
      </c>
      <c r="L63" s="51">
        <f t="shared" si="6"/>
        <v>3919.49</v>
      </c>
      <c r="M63" s="51">
        <f t="shared" si="6"/>
        <v>2282.2300000000005</v>
      </c>
      <c r="N63" s="52">
        <f t="shared" si="6"/>
        <v>8669.1</v>
      </c>
      <c r="O63" s="53">
        <f t="shared" si="6"/>
        <v>11750</v>
      </c>
      <c r="P63" s="54">
        <f t="shared" si="6"/>
        <v>3080.8999999999996</v>
      </c>
      <c r="Q63" s="118"/>
      <c r="R63" s="111"/>
      <c r="S63" s="95" t="s">
        <v>71</v>
      </c>
      <c r="T63" s="96"/>
      <c r="U63" s="181">
        <f>SUM(U48:U62)</f>
        <v>8161.7199999999993</v>
      </c>
    </row>
    <row r="64" spans="1:28" ht="12.75" customHeight="1" x14ac:dyDescent="0.25">
      <c r="A64" s="63" t="s">
        <v>102</v>
      </c>
      <c r="B64" s="31"/>
      <c r="C64" s="31"/>
      <c r="D64" s="31">
        <v>200</v>
      </c>
      <c r="E64" s="31">
        <f>57.36+203.35</f>
        <v>260.70999999999998</v>
      </c>
      <c r="F64" s="31">
        <v>722.62</v>
      </c>
      <c r="G64" s="31"/>
      <c r="H64" s="31"/>
      <c r="I64" s="161">
        <v>2012.58</v>
      </c>
      <c r="J64" s="31"/>
      <c r="K64" s="31"/>
      <c r="L64" s="31"/>
      <c r="M64" s="31"/>
      <c r="N64" s="32">
        <f t="shared" ref="N64:N89" si="7">SUM(B64:M64)</f>
        <v>3195.91</v>
      </c>
      <c r="O64" s="33">
        <v>3000</v>
      </c>
      <c r="P64" s="34">
        <f t="shared" si="5"/>
        <v>-195.90999999999985</v>
      </c>
      <c r="Q64" s="113"/>
      <c r="R64" s="111"/>
      <c r="T64" s="178" t="s">
        <v>146</v>
      </c>
      <c r="U64" s="43">
        <f>15*700</f>
        <v>10500</v>
      </c>
      <c r="V64" s="20">
        <f>U63-SUM(N56:N61)</f>
        <v>0</v>
      </c>
    </row>
    <row r="65" spans="1:19" ht="12.75" customHeight="1" x14ac:dyDescent="0.25">
      <c r="A65" s="148" t="s">
        <v>103</v>
      </c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2">
        <f t="shared" si="7"/>
        <v>0</v>
      </c>
      <c r="O65" s="33">
        <v>100</v>
      </c>
      <c r="P65" s="34">
        <f t="shared" si="5"/>
        <v>100</v>
      </c>
      <c r="Q65" s="118"/>
      <c r="R65" s="111"/>
    </row>
    <row r="66" spans="1:19" ht="12.75" customHeight="1" x14ac:dyDescent="0.25">
      <c r="A66" s="63" t="s">
        <v>104</v>
      </c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2">
        <f t="shared" si="7"/>
        <v>0</v>
      </c>
      <c r="O66" s="33">
        <v>200</v>
      </c>
      <c r="P66" s="34">
        <f t="shared" si="5"/>
        <v>200</v>
      </c>
      <c r="Q66" s="118"/>
      <c r="R66" s="111"/>
    </row>
    <row r="67" spans="1:19" ht="12.75" customHeight="1" x14ac:dyDescent="0.25">
      <c r="A67" s="63" t="s">
        <v>105</v>
      </c>
      <c r="B67" s="31"/>
      <c r="C67" s="31">
        <v>335</v>
      </c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2">
        <f t="shared" si="7"/>
        <v>335</v>
      </c>
      <c r="O67" s="33">
        <v>340</v>
      </c>
      <c r="P67" s="34">
        <f t="shared" si="5"/>
        <v>5</v>
      </c>
      <c r="Q67" s="118"/>
      <c r="R67" s="111"/>
    </row>
    <row r="68" spans="1:19" ht="12.75" customHeight="1" x14ac:dyDescent="0.25">
      <c r="A68" s="63" t="s">
        <v>107</v>
      </c>
      <c r="B68" s="31"/>
      <c r="C68" s="31"/>
      <c r="D68" s="31"/>
      <c r="E68" s="31"/>
      <c r="F68" s="31"/>
      <c r="G68" s="31"/>
      <c r="H68" s="31"/>
      <c r="I68" s="31"/>
      <c r="J68" s="161"/>
      <c r="K68" s="161"/>
      <c r="L68" s="31">
        <v>1249</v>
      </c>
      <c r="M68" s="31"/>
      <c r="N68" s="32">
        <f t="shared" si="7"/>
        <v>1249</v>
      </c>
      <c r="O68" s="33">
        <v>1000</v>
      </c>
      <c r="P68" s="34">
        <f>O68-N68</f>
        <v>-249</v>
      </c>
      <c r="Q68" s="118"/>
      <c r="R68" s="111"/>
    </row>
    <row r="69" spans="1:19" ht="12.75" customHeight="1" x14ac:dyDescent="0.25">
      <c r="A69" s="148" t="s">
        <v>108</v>
      </c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2">
        <f t="shared" si="7"/>
        <v>0</v>
      </c>
      <c r="O69" s="33">
        <v>200</v>
      </c>
      <c r="P69" s="34">
        <f t="shared" si="5"/>
        <v>200</v>
      </c>
      <c r="Q69" s="170"/>
      <c r="R69" s="111"/>
    </row>
    <row r="70" spans="1:19" ht="12.75" customHeight="1" x14ac:dyDescent="0.25">
      <c r="A70" s="63" t="s">
        <v>109</v>
      </c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2">
        <f t="shared" si="7"/>
        <v>0</v>
      </c>
      <c r="O70" s="33">
        <v>100</v>
      </c>
      <c r="P70" s="34">
        <f t="shared" si="5"/>
        <v>100</v>
      </c>
      <c r="Q70" s="118"/>
      <c r="R70" s="111"/>
    </row>
    <row r="71" spans="1:19" ht="12.75" customHeight="1" x14ac:dyDescent="0.25">
      <c r="A71" s="148" t="s">
        <v>110</v>
      </c>
      <c r="B71" s="31"/>
      <c r="C71" s="31"/>
      <c r="D71" s="31"/>
      <c r="E71" s="31"/>
      <c r="F71" s="31"/>
      <c r="G71" s="31">
        <v>1000</v>
      </c>
      <c r="H71" s="31"/>
      <c r="I71" s="31"/>
      <c r="J71" s="31"/>
      <c r="K71" s="31"/>
      <c r="L71" s="31"/>
      <c r="M71" s="31"/>
      <c r="N71" s="32">
        <f t="shared" si="7"/>
        <v>1000</v>
      </c>
      <c r="O71" s="33">
        <v>862</v>
      </c>
      <c r="P71" s="34">
        <f t="shared" si="5"/>
        <v>-138</v>
      </c>
      <c r="Q71" s="118"/>
      <c r="R71" s="111"/>
    </row>
    <row r="72" spans="1:19" ht="12.75" customHeight="1" x14ac:dyDescent="0.25">
      <c r="A72" s="148" t="s">
        <v>132</v>
      </c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2">
        <f t="shared" si="7"/>
        <v>0</v>
      </c>
      <c r="O72" s="33">
        <v>1000</v>
      </c>
      <c r="P72" s="34">
        <f>O72-N72</f>
        <v>1000</v>
      </c>
      <c r="Q72" s="118"/>
      <c r="R72" s="111"/>
    </row>
    <row r="73" spans="1:19" ht="12.75" customHeight="1" x14ac:dyDescent="0.25">
      <c r="A73" s="148" t="s">
        <v>111</v>
      </c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2">
        <f t="shared" si="7"/>
        <v>0</v>
      </c>
      <c r="O73" s="33">
        <v>300</v>
      </c>
      <c r="P73" s="34">
        <f t="shared" si="5"/>
        <v>300</v>
      </c>
      <c r="Q73" s="118"/>
      <c r="R73" s="111"/>
      <c r="S73" s="74"/>
    </row>
    <row r="74" spans="1:19" ht="12.75" customHeight="1" x14ac:dyDescent="0.25">
      <c r="A74" s="63" t="s">
        <v>113</v>
      </c>
      <c r="B74" s="31"/>
      <c r="C74" s="31"/>
      <c r="D74" s="31"/>
      <c r="E74" s="31"/>
      <c r="F74" s="31">
        <v>20</v>
      </c>
      <c r="G74" s="31"/>
      <c r="H74" s="31">
        <v>30</v>
      </c>
      <c r="I74" s="31"/>
      <c r="J74" s="31"/>
      <c r="K74" s="31"/>
      <c r="L74" s="31">
        <v>149.9</v>
      </c>
      <c r="M74" s="31">
        <v>20</v>
      </c>
      <c r="N74" s="32">
        <f t="shared" si="7"/>
        <v>219.9</v>
      </c>
      <c r="O74" s="33">
        <v>200</v>
      </c>
      <c r="P74" s="34">
        <f t="shared" si="5"/>
        <v>-19.900000000000006</v>
      </c>
      <c r="Q74" s="170"/>
      <c r="R74" s="111"/>
      <c r="S74" s="74"/>
    </row>
    <row r="75" spans="1:19" ht="12.75" customHeight="1" x14ac:dyDescent="0.25">
      <c r="A75" s="63" t="s">
        <v>114</v>
      </c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>
        <v>31.19</v>
      </c>
      <c r="N75" s="32">
        <f t="shared" si="7"/>
        <v>31.19</v>
      </c>
      <c r="O75" s="33">
        <v>100</v>
      </c>
      <c r="P75" s="34">
        <f t="shared" si="5"/>
        <v>68.81</v>
      </c>
      <c r="Q75" s="118"/>
      <c r="R75" s="111"/>
      <c r="S75" s="74"/>
    </row>
    <row r="76" spans="1:19" ht="12.75" customHeight="1" x14ac:dyDescent="0.25">
      <c r="A76" s="63" t="s">
        <v>115</v>
      </c>
      <c r="B76" s="31"/>
      <c r="C76" s="31"/>
      <c r="D76" s="31"/>
      <c r="E76" s="31">
        <v>346.35</v>
      </c>
      <c r="F76" s="31"/>
      <c r="G76" s="31"/>
      <c r="H76" s="31"/>
      <c r="I76" s="31"/>
      <c r="J76" s="31"/>
      <c r="K76" s="31"/>
      <c r="L76" s="31"/>
      <c r="M76" s="31"/>
      <c r="N76" s="32">
        <f t="shared" si="7"/>
        <v>346.35</v>
      </c>
      <c r="O76" s="33">
        <v>250</v>
      </c>
      <c r="P76" s="34">
        <f t="shared" si="5"/>
        <v>-96.350000000000023</v>
      </c>
      <c r="Q76" s="118"/>
      <c r="R76" s="111"/>
      <c r="S76" s="74"/>
    </row>
    <row r="77" spans="1:19" ht="12.75" customHeight="1" x14ac:dyDescent="0.25">
      <c r="A77" s="148" t="s">
        <v>116</v>
      </c>
      <c r="B77" s="31"/>
      <c r="C77" s="31"/>
      <c r="D77" s="31"/>
      <c r="E77" s="31">
        <v>496.22</v>
      </c>
      <c r="F77" s="31"/>
      <c r="G77" s="31"/>
      <c r="H77" s="31"/>
      <c r="I77" s="31"/>
      <c r="J77" s="31"/>
      <c r="K77" s="31"/>
      <c r="L77" s="31"/>
      <c r="M77" s="31"/>
      <c r="N77" s="32">
        <f t="shared" si="7"/>
        <v>496.22</v>
      </c>
      <c r="O77" s="33">
        <v>370</v>
      </c>
      <c r="P77" s="34">
        <f t="shared" si="5"/>
        <v>-126.22000000000003</v>
      </c>
      <c r="Q77" s="118"/>
      <c r="R77" s="111"/>
      <c r="S77" s="74"/>
    </row>
    <row r="78" spans="1:19" ht="12.75" customHeight="1" x14ac:dyDescent="0.25">
      <c r="A78" s="148" t="s">
        <v>117</v>
      </c>
      <c r="B78" s="31"/>
      <c r="C78" s="31"/>
      <c r="D78" s="31"/>
      <c r="E78" s="31">
        <v>458.15</v>
      </c>
      <c r="F78" s="31"/>
      <c r="G78" s="31"/>
      <c r="H78" s="31"/>
      <c r="I78" s="31"/>
      <c r="J78" s="31"/>
      <c r="K78" s="31"/>
      <c r="L78" s="31"/>
      <c r="M78" s="31"/>
      <c r="N78" s="32">
        <f t="shared" si="7"/>
        <v>458.15</v>
      </c>
      <c r="O78" s="33">
        <v>570</v>
      </c>
      <c r="P78" s="34">
        <f t="shared" ref="P78:P83" si="8">O78-N78</f>
        <v>111.85000000000002</v>
      </c>
      <c r="Q78" s="118"/>
      <c r="R78" s="111"/>
      <c r="S78" s="74"/>
    </row>
    <row r="79" spans="1:19" ht="12.75" customHeight="1" x14ac:dyDescent="0.25">
      <c r="A79" s="63" t="s">
        <v>78</v>
      </c>
      <c r="B79" s="31"/>
      <c r="C79" s="31">
        <f>1225.34+1026.54</f>
        <v>2251.88</v>
      </c>
      <c r="D79" s="31">
        <f>623.35+69.95+87+1034.3+28.3</f>
        <v>1842.8999999999999</v>
      </c>
      <c r="E79" s="31"/>
      <c r="F79" s="31">
        <v>234.8</v>
      </c>
      <c r="G79" s="31">
        <v>130</v>
      </c>
      <c r="H79" s="31"/>
      <c r="I79" s="31"/>
      <c r="J79" s="31"/>
      <c r="K79" s="31">
        <f>230.84+126.94</f>
        <v>357.78</v>
      </c>
      <c r="L79" s="31">
        <v>36.950000000000003</v>
      </c>
      <c r="M79" s="31">
        <v>120.54</v>
      </c>
      <c r="N79" s="32">
        <f t="shared" si="7"/>
        <v>4974.8499999999995</v>
      </c>
      <c r="O79" s="33">
        <v>5000</v>
      </c>
      <c r="P79" s="34">
        <f t="shared" si="8"/>
        <v>25.150000000000546</v>
      </c>
      <c r="Q79" s="118"/>
      <c r="R79" s="111"/>
      <c r="S79" s="74"/>
    </row>
    <row r="80" spans="1:19" ht="12.75" customHeight="1" x14ac:dyDescent="0.25">
      <c r="A80" s="149" t="s">
        <v>72</v>
      </c>
      <c r="B80" s="31"/>
      <c r="C80" s="31"/>
      <c r="D80" s="31">
        <v>340</v>
      </c>
      <c r="E80" s="31"/>
      <c r="F80" s="31"/>
      <c r="G80" s="31"/>
      <c r="H80" s="31"/>
      <c r="I80" s="31"/>
      <c r="J80" s="31"/>
      <c r="K80" s="31"/>
      <c r="L80" s="31"/>
      <c r="M80" s="31"/>
      <c r="N80" s="32">
        <f t="shared" si="7"/>
        <v>340</v>
      </c>
      <c r="O80" s="33">
        <v>2000</v>
      </c>
      <c r="P80" s="34">
        <f t="shared" si="8"/>
        <v>1660</v>
      </c>
      <c r="Q80" s="118"/>
      <c r="R80" s="111"/>
      <c r="S80" s="74"/>
    </row>
    <row r="81" spans="1:28" ht="12.75" customHeight="1" x14ac:dyDescent="0.25">
      <c r="A81" s="63" t="s">
        <v>118</v>
      </c>
      <c r="B81" s="31"/>
      <c r="C81" s="31"/>
      <c r="D81" s="31">
        <v>35.42</v>
      </c>
      <c r="E81" s="31"/>
      <c r="F81" s="31"/>
      <c r="G81" s="31"/>
      <c r="H81" s="31"/>
      <c r="I81" s="31"/>
      <c r="J81" s="31"/>
      <c r="K81" s="31"/>
      <c r="L81" s="31"/>
      <c r="M81" s="31"/>
      <c r="N81" s="32">
        <f t="shared" si="7"/>
        <v>35.42</v>
      </c>
      <c r="O81" s="33">
        <v>750</v>
      </c>
      <c r="P81" s="34">
        <f t="shared" si="8"/>
        <v>714.58</v>
      </c>
      <c r="Q81" s="118"/>
      <c r="R81" s="111"/>
      <c r="S81" s="74"/>
    </row>
    <row r="82" spans="1:28" ht="12.75" customHeight="1" x14ac:dyDescent="0.25">
      <c r="A82" s="63" t="s">
        <v>80</v>
      </c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2">
        <f t="shared" si="7"/>
        <v>0</v>
      </c>
      <c r="O82" s="33">
        <v>0</v>
      </c>
      <c r="P82" s="34">
        <f t="shared" si="8"/>
        <v>0</v>
      </c>
      <c r="Q82" s="118"/>
      <c r="R82" s="111"/>
      <c r="S82" s="74"/>
    </row>
    <row r="83" spans="1:28" ht="12.75" hidden="1" customHeight="1" outlineLevel="1" x14ac:dyDescent="0.25">
      <c r="A83" s="63" t="s">
        <v>128</v>
      </c>
      <c r="B83" s="31"/>
      <c r="C83" s="31"/>
      <c r="D83" s="31"/>
      <c r="E83" s="31"/>
      <c r="F83" s="31"/>
      <c r="G83" s="31"/>
      <c r="H83" s="31"/>
      <c r="I83" s="31"/>
      <c r="J83" s="31"/>
      <c r="K83" s="31">
        <v>100</v>
      </c>
      <c r="L83" s="31"/>
      <c r="M83" s="31"/>
      <c r="N83" s="32">
        <f t="shared" si="7"/>
        <v>100</v>
      </c>
      <c r="O83" s="33">
        <v>100</v>
      </c>
      <c r="P83" s="34">
        <f t="shared" si="8"/>
        <v>0</v>
      </c>
      <c r="Q83" s="118"/>
      <c r="R83" s="111"/>
      <c r="S83" s="74"/>
      <c r="W83" s="2"/>
      <c r="X83" s="2"/>
    </row>
    <row r="84" spans="1:28" ht="12.75" customHeight="1" collapsed="1" x14ac:dyDescent="0.25">
      <c r="A84" s="148" t="s">
        <v>119</v>
      </c>
      <c r="B84" s="31"/>
      <c r="C84" s="31"/>
      <c r="D84" s="31"/>
      <c r="E84" s="31"/>
      <c r="F84" s="31">
        <v>48</v>
      </c>
      <c r="G84" s="31"/>
      <c r="H84" s="31"/>
      <c r="I84" s="31"/>
      <c r="J84" s="31"/>
      <c r="K84" s="31">
        <v>32.96</v>
      </c>
      <c r="L84" s="31">
        <v>945.28</v>
      </c>
      <c r="M84" s="31">
        <f>189+70</f>
        <v>259</v>
      </c>
      <c r="N84" s="32">
        <f t="shared" si="7"/>
        <v>1285.24</v>
      </c>
      <c r="O84" s="33">
        <v>350</v>
      </c>
      <c r="P84" s="34">
        <f t="shared" si="5"/>
        <v>-935.24</v>
      </c>
      <c r="Q84" s="118">
        <f>-P32+P84</f>
        <v>0.46000000000003638</v>
      </c>
      <c r="R84" s="184" t="s">
        <v>150</v>
      </c>
      <c r="S84" s="74"/>
    </row>
    <row r="85" spans="1:28" s="2" customFormat="1" ht="12.75" customHeight="1" x14ac:dyDescent="0.25">
      <c r="A85" s="148" t="s">
        <v>120</v>
      </c>
      <c r="B85" s="31"/>
      <c r="C85" s="31"/>
      <c r="D85" s="31">
        <v>180</v>
      </c>
      <c r="E85" s="31"/>
      <c r="F85" s="31"/>
      <c r="G85" s="31"/>
      <c r="H85" s="31"/>
      <c r="I85" s="31"/>
      <c r="J85" s="31"/>
      <c r="K85" s="31"/>
      <c r="L85" s="31"/>
      <c r="M85" s="31">
        <v>120</v>
      </c>
      <c r="N85" s="32">
        <f t="shared" si="7"/>
        <v>300</v>
      </c>
      <c r="O85" s="33">
        <v>300</v>
      </c>
      <c r="P85" s="34">
        <f t="shared" si="5"/>
        <v>0</v>
      </c>
      <c r="Q85" s="118"/>
      <c r="R85" s="111"/>
      <c r="S85" s="74"/>
      <c r="T85"/>
      <c r="U85" s="1"/>
      <c r="V85"/>
      <c r="W85"/>
      <c r="X85"/>
      <c r="Y85"/>
      <c r="Z85"/>
      <c r="AA85"/>
      <c r="AB85"/>
    </row>
    <row r="86" spans="1:28" ht="12.75" customHeight="1" x14ac:dyDescent="0.25">
      <c r="A86" s="63" t="s">
        <v>121</v>
      </c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2">
        <f t="shared" si="7"/>
        <v>0</v>
      </c>
      <c r="O86" s="33">
        <v>0</v>
      </c>
      <c r="P86" s="34">
        <f t="shared" si="5"/>
        <v>0</v>
      </c>
      <c r="Q86" s="118"/>
      <c r="R86" s="111"/>
      <c r="S86" s="111"/>
      <c r="V86" s="2"/>
      <c r="Y86" s="2"/>
      <c r="Z86" s="2"/>
      <c r="AA86" s="2"/>
      <c r="AB86" s="2"/>
    </row>
    <row r="87" spans="1:28" ht="12.75" hidden="1" customHeight="1" outlineLevel="1" x14ac:dyDescent="0.25">
      <c r="A87" s="63" t="s">
        <v>122</v>
      </c>
      <c r="B87" s="31"/>
      <c r="C87" s="31"/>
      <c r="D87" s="31"/>
      <c r="E87" s="31"/>
      <c r="F87" s="31"/>
      <c r="G87" s="31">
        <v>90</v>
      </c>
      <c r="H87" s="31"/>
      <c r="I87" s="31"/>
      <c r="J87" s="161">
        <v>50</v>
      </c>
      <c r="K87" s="161"/>
      <c r="L87" s="31"/>
      <c r="M87" s="31"/>
      <c r="N87" s="32">
        <f t="shared" si="7"/>
        <v>140</v>
      </c>
      <c r="O87" s="33">
        <v>150</v>
      </c>
      <c r="P87" s="34">
        <f t="shared" si="5"/>
        <v>10</v>
      </c>
      <c r="Q87" s="118"/>
      <c r="R87" s="111"/>
    </row>
    <row r="88" spans="1:28" ht="12.75" customHeight="1" collapsed="1" x14ac:dyDescent="0.25">
      <c r="A88" s="63" t="s">
        <v>123</v>
      </c>
      <c r="B88" s="31"/>
      <c r="C88" s="31"/>
      <c r="D88" s="31">
        <v>165</v>
      </c>
      <c r="E88" s="31">
        <v>84.97</v>
      </c>
      <c r="F88" s="31">
        <v>250</v>
      </c>
      <c r="G88" s="31">
        <v>333.2</v>
      </c>
      <c r="H88" s="31">
        <v>248.68</v>
      </c>
      <c r="I88" s="31">
        <v>43.9</v>
      </c>
      <c r="J88" s="31">
        <v>535.77</v>
      </c>
      <c r="K88" s="31">
        <f>823.54+28.14+250+100.02+88.72+15.9</f>
        <v>1306.32</v>
      </c>
      <c r="L88" s="31">
        <f>2380.95+19.35+249.4+85+71.08</f>
        <v>2805.7799999999997</v>
      </c>
      <c r="M88" s="31">
        <f>258.68+250+250</f>
        <v>758.68000000000006</v>
      </c>
      <c r="N88" s="32">
        <f t="shared" si="7"/>
        <v>6532.3</v>
      </c>
      <c r="O88" s="33">
        <v>7500</v>
      </c>
      <c r="P88" s="34">
        <f t="shared" si="5"/>
        <v>967.69999999999982</v>
      </c>
      <c r="Q88" s="182"/>
      <c r="R88" s="111"/>
      <c r="T88" s="2"/>
      <c r="U88" s="22"/>
    </row>
    <row r="89" spans="1:28" ht="12.75" customHeight="1" x14ac:dyDescent="0.25">
      <c r="A89" s="63" t="s">
        <v>124</v>
      </c>
      <c r="B89" s="31"/>
      <c r="C89" s="31"/>
      <c r="D89" s="31"/>
      <c r="E89" s="31">
        <v>249</v>
      </c>
      <c r="F89" s="31"/>
      <c r="G89" s="31"/>
      <c r="H89" s="31"/>
      <c r="I89" s="31"/>
      <c r="J89" s="161"/>
      <c r="K89" s="161"/>
      <c r="L89" s="31">
        <f>52.87+330.51+11.97</f>
        <v>395.35</v>
      </c>
      <c r="M89" s="31">
        <f>43.78-99.99</f>
        <v>-56.209999999999994</v>
      </c>
      <c r="N89" s="32">
        <f t="shared" si="7"/>
        <v>588.14</v>
      </c>
      <c r="O89" s="33">
        <v>1000</v>
      </c>
      <c r="P89" s="34">
        <f t="shared" si="5"/>
        <v>411.86</v>
      </c>
      <c r="Q89" s="118"/>
      <c r="R89" s="111"/>
    </row>
    <row r="90" spans="1:28" ht="12.75" customHeight="1" x14ac:dyDescent="0.25">
      <c r="A90" s="63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2"/>
      <c r="O90" s="33"/>
      <c r="P90" s="34"/>
      <c r="Q90" s="118"/>
      <c r="R90" s="111"/>
    </row>
    <row r="91" spans="1:28" ht="12.75" customHeight="1" x14ac:dyDescent="0.25">
      <c r="A91" s="15" t="s">
        <v>25</v>
      </c>
      <c r="B91" s="51">
        <f t="shared" ref="B91:M91" si="9">SUM(B36:B54)+B63+SUM(B64:B90)</f>
        <v>0</v>
      </c>
      <c r="C91" s="51">
        <f t="shared" si="9"/>
        <v>2586.88</v>
      </c>
      <c r="D91" s="51">
        <f t="shared" si="9"/>
        <v>2763.3199999999997</v>
      </c>
      <c r="E91" s="51">
        <f t="shared" si="9"/>
        <v>2021.83</v>
      </c>
      <c r="F91" s="51">
        <f t="shared" si="9"/>
        <v>1771.8300000000002</v>
      </c>
      <c r="G91" s="51">
        <f t="shared" si="9"/>
        <v>1895.3700000000001</v>
      </c>
      <c r="H91" s="51">
        <f t="shared" si="9"/>
        <v>3478.0099999999998</v>
      </c>
      <c r="I91" s="51">
        <f t="shared" si="9"/>
        <v>2911.9</v>
      </c>
      <c r="J91" s="51">
        <f t="shared" si="9"/>
        <v>1118.71</v>
      </c>
      <c r="K91" s="51">
        <f t="shared" si="9"/>
        <v>4533.42</v>
      </c>
      <c r="L91" s="51">
        <f t="shared" si="9"/>
        <v>10303.380000000001</v>
      </c>
      <c r="M91" s="51">
        <f t="shared" si="9"/>
        <v>7192.88</v>
      </c>
      <c r="N91" s="59">
        <f>SUM(N37:N54)+N63+SUM(N64:N90)+SUM(N36:N36)</f>
        <v>40577.53</v>
      </c>
      <c r="O91" s="60">
        <f>SUM(O37:O54)+O63+SUM(O64:O90)+SUM(O36:O36)</f>
        <v>53724</v>
      </c>
      <c r="P91" s="60">
        <f>SUM(P37:P54)+P63+SUM(P64:P90)+SUM(P36:P36)</f>
        <v>13146.47</v>
      </c>
      <c r="Q91" s="118"/>
      <c r="R91" s="112"/>
    </row>
    <row r="92" spans="1:28" ht="12.75" customHeight="1" x14ac:dyDescent="0.25">
      <c r="A92" s="66" t="s">
        <v>26</v>
      </c>
      <c r="B92" s="67">
        <f t="shared" ref="B92:P92" si="10">B33-B91</f>
        <v>113.72</v>
      </c>
      <c r="C92" s="67">
        <f t="shared" si="10"/>
        <v>6750.47</v>
      </c>
      <c r="D92" s="67">
        <f t="shared" si="10"/>
        <v>-2646.7999999999997</v>
      </c>
      <c r="E92" s="67">
        <f t="shared" si="10"/>
        <v>4819.59</v>
      </c>
      <c r="F92" s="67">
        <f t="shared" si="10"/>
        <v>3580.7</v>
      </c>
      <c r="G92" s="67">
        <f t="shared" si="10"/>
        <v>-739.12000000000012</v>
      </c>
      <c r="H92" s="67">
        <f t="shared" si="10"/>
        <v>-3330.1099999999997</v>
      </c>
      <c r="I92" s="67">
        <f t="shared" si="10"/>
        <v>-2356.4499999999998</v>
      </c>
      <c r="J92" s="67">
        <f t="shared" si="10"/>
        <v>-1118.71</v>
      </c>
      <c r="K92" s="67">
        <f t="shared" si="10"/>
        <v>-3422.61</v>
      </c>
      <c r="L92" s="67">
        <f t="shared" si="10"/>
        <v>-7585.3100000000013</v>
      </c>
      <c r="M92" s="67">
        <f t="shared" si="10"/>
        <v>-6961.68</v>
      </c>
      <c r="N92" s="67">
        <f t="shared" si="10"/>
        <v>-12896.309999999998</v>
      </c>
      <c r="O92" s="67">
        <f t="shared" si="10"/>
        <v>-14824</v>
      </c>
      <c r="P92" s="67">
        <f t="shared" si="10"/>
        <v>-1927.6899999999987</v>
      </c>
      <c r="Q92" s="126"/>
    </row>
    <row r="93" spans="1:28" ht="12.75" customHeight="1" x14ac:dyDescent="0.25">
      <c r="A93" s="13" t="s">
        <v>27</v>
      </c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55"/>
      <c r="O93" s="45"/>
      <c r="P93" s="46"/>
      <c r="Q93" s="119"/>
      <c r="S93" s="12"/>
      <c r="T93" s="62"/>
      <c r="U93" s="105"/>
    </row>
    <row r="94" spans="1:28" ht="12.75" customHeight="1" x14ac:dyDescent="0.25">
      <c r="A94" s="63" t="s">
        <v>28</v>
      </c>
      <c r="B94" s="31">
        <f>0.84+0.21</f>
        <v>1.05</v>
      </c>
      <c r="C94" s="31">
        <f>0.88+0.21</f>
        <v>1.0900000000000001</v>
      </c>
      <c r="D94" s="31">
        <v>1.25</v>
      </c>
      <c r="E94" s="31">
        <v>1.19</v>
      </c>
      <c r="F94" s="31">
        <v>1.24</v>
      </c>
      <c r="G94" s="31">
        <v>1.6</v>
      </c>
      <c r="H94" s="31">
        <v>1.54</v>
      </c>
      <c r="I94" s="31">
        <v>1.27</v>
      </c>
      <c r="J94" s="31">
        <v>1.3</v>
      </c>
      <c r="K94" s="31">
        <v>1.21</v>
      </c>
      <c r="L94" s="31">
        <v>0.99</v>
      </c>
      <c r="M94" s="31">
        <v>0.65</v>
      </c>
      <c r="N94" s="32">
        <f>SUM(B94:M94)</f>
        <v>14.380000000000003</v>
      </c>
      <c r="O94" s="33">
        <v>10</v>
      </c>
      <c r="P94" s="34">
        <f>O94-N94</f>
        <v>-4.3800000000000026</v>
      </c>
      <c r="Q94" s="115"/>
      <c r="T94" s="62"/>
      <c r="U94" s="105"/>
      <c r="V94" s="62"/>
    </row>
    <row r="95" spans="1:28" ht="12.75" customHeight="1" x14ac:dyDescent="0.25">
      <c r="A95" s="64" t="s">
        <v>29</v>
      </c>
      <c r="B95" s="31">
        <f>6.61+3.24+1.16+0.66+4.46+0.42+0.23</f>
        <v>16.780000000000005</v>
      </c>
      <c r="C95" s="31">
        <v>14.44</v>
      </c>
      <c r="D95" s="31">
        <v>13.99</v>
      </c>
      <c r="E95" s="31">
        <v>12.76</v>
      </c>
      <c r="F95" s="31">
        <v>10.68</v>
      </c>
      <c r="G95" s="31">
        <v>10.9</v>
      </c>
      <c r="H95" s="31">
        <v>7.83</v>
      </c>
      <c r="I95" s="31">
        <v>5.0599999999999996</v>
      </c>
      <c r="J95" s="31">
        <v>5.59</v>
      </c>
      <c r="K95" s="31">
        <v>5.03</v>
      </c>
      <c r="L95" s="31">
        <v>4.6900000000000004</v>
      </c>
      <c r="M95" s="31">
        <v>4.45</v>
      </c>
      <c r="N95" s="32">
        <f>SUM(B95:M95)</f>
        <v>112.20000000000002</v>
      </c>
      <c r="O95" s="33">
        <v>120</v>
      </c>
      <c r="P95" s="34">
        <f>O95-N95</f>
        <v>7.7999999999999829</v>
      </c>
      <c r="Q95" s="118"/>
      <c r="T95" s="62"/>
      <c r="U95" s="105"/>
      <c r="V95" s="62"/>
    </row>
    <row r="96" spans="1:28" ht="12.75" customHeight="1" x14ac:dyDescent="0.25">
      <c r="A96" s="14" t="s">
        <v>30</v>
      </c>
      <c r="B96" s="38">
        <f>SUM(B94:B95)</f>
        <v>17.830000000000005</v>
      </c>
      <c r="C96" s="38">
        <f t="shared" ref="C96:N96" si="11">SUM(C94:C95)</f>
        <v>15.53</v>
      </c>
      <c r="D96" s="38">
        <f t="shared" si="11"/>
        <v>15.24</v>
      </c>
      <c r="E96" s="38">
        <f t="shared" si="11"/>
        <v>13.95</v>
      </c>
      <c r="F96" s="38">
        <f t="shared" si="11"/>
        <v>11.92</v>
      </c>
      <c r="G96" s="38">
        <f t="shared" si="11"/>
        <v>12.5</v>
      </c>
      <c r="H96" s="38">
        <f t="shared" si="11"/>
        <v>9.370000000000001</v>
      </c>
      <c r="I96" s="38">
        <f t="shared" si="11"/>
        <v>6.33</v>
      </c>
      <c r="J96" s="38">
        <f>SUM(J94:J95)</f>
        <v>6.89</v>
      </c>
      <c r="K96" s="38">
        <f t="shared" si="11"/>
        <v>6.24</v>
      </c>
      <c r="L96" s="38">
        <f t="shared" si="11"/>
        <v>5.6800000000000006</v>
      </c>
      <c r="M96" s="38">
        <f t="shared" si="11"/>
        <v>5.1000000000000005</v>
      </c>
      <c r="N96" s="39">
        <f t="shared" si="11"/>
        <v>126.58000000000001</v>
      </c>
      <c r="O96" s="40">
        <f>SUM(O94:O95)</f>
        <v>130</v>
      </c>
      <c r="P96" s="41">
        <f>SUM(P94:P95)</f>
        <v>3.4199999999999804</v>
      </c>
      <c r="Q96" s="118"/>
      <c r="T96" s="72"/>
      <c r="U96" s="61"/>
      <c r="V96" s="62"/>
    </row>
    <row r="97" spans="1:22" ht="12.75" customHeight="1" x14ac:dyDescent="0.25">
      <c r="A97" s="14" t="s">
        <v>31</v>
      </c>
      <c r="B97" s="38">
        <f>(B96)-(0)</f>
        <v>17.830000000000005</v>
      </c>
      <c r="C97" s="38">
        <f t="shared" ref="C97:P97" si="12">(C96)-(0)</f>
        <v>15.53</v>
      </c>
      <c r="D97" s="38">
        <f t="shared" si="12"/>
        <v>15.24</v>
      </c>
      <c r="E97" s="38">
        <f t="shared" si="12"/>
        <v>13.95</v>
      </c>
      <c r="F97" s="38">
        <f t="shared" si="12"/>
        <v>11.92</v>
      </c>
      <c r="G97" s="38">
        <f t="shared" si="12"/>
        <v>12.5</v>
      </c>
      <c r="H97" s="38">
        <f t="shared" si="12"/>
        <v>9.370000000000001</v>
      </c>
      <c r="I97" s="38">
        <f t="shared" si="12"/>
        <v>6.33</v>
      </c>
      <c r="J97" s="38">
        <f>(J96)-(0)</f>
        <v>6.89</v>
      </c>
      <c r="K97" s="38">
        <f t="shared" si="12"/>
        <v>6.24</v>
      </c>
      <c r="L97" s="38">
        <f t="shared" si="12"/>
        <v>5.6800000000000006</v>
      </c>
      <c r="M97" s="38">
        <f t="shared" si="12"/>
        <v>5.1000000000000005</v>
      </c>
      <c r="N97" s="39">
        <f>SUM(B97:M97)</f>
        <v>126.58000000000001</v>
      </c>
      <c r="O97" s="40">
        <f t="shared" si="12"/>
        <v>130</v>
      </c>
      <c r="P97" s="41">
        <f t="shared" si="12"/>
        <v>3.4199999999999804</v>
      </c>
      <c r="Q97" s="113"/>
      <c r="T97" s="62"/>
      <c r="U97" s="105"/>
      <c r="V97" s="62"/>
    </row>
    <row r="98" spans="1:22" ht="12.75" customHeight="1" x14ac:dyDescent="0.25">
      <c r="A98" s="68" t="s">
        <v>32</v>
      </c>
      <c r="B98" s="69">
        <f>(B92)+(B97)</f>
        <v>131.55000000000001</v>
      </c>
      <c r="C98" s="69">
        <f>(C92)+(C97)</f>
        <v>6766</v>
      </c>
      <c r="D98" s="69">
        <f t="shared" ref="D98:M98" si="13">(D92)+(D97)</f>
        <v>-2631.56</v>
      </c>
      <c r="E98" s="69">
        <f t="shared" si="13"/>
        <v>4833.54</v>
      </c>
      <c r="F98" s="69">
        <f t="shared" si="13"/>
        <v>3592.62</v>
      </c>
      <c r="G98" s="69">
        <f t="shared" si="13"/>
        <v>-726.62000000000012</v>
      </c>
      <c r="H98" s="69">
        <f t="shared" si="13"/>
        <v>-3320.74</v>
      </c>
      <c r="I98" s="69">
        <f t="shared" si="13"/>
        <v>-2350.12</v>
      </c>
      <c r="J98" s="69">
        <f>(J92)+(J97)</f>
        <v>-1111.82</v>
      </c>
      <c r="K98" s="69">
        <f t="shared" si="13"/>
        <v>-3416.3700000000003</v>
      </c>
      <c r="L98" s="69">
        <f>(L92)+(L97)</f>
        <v>-7579.630000000001</v>
      </c>
      <c r="M98" s="69">
        <f t="shared" si="13"/>
        <v>-6956.58</v>
      </c>
      <c r="N98" s="69">
        <f>(N92)+(N97)</f>
        <v>-12769.729999999998</v>
      </c>
      <c r="O98" s="69">
        <f>(O92)+(O97)</f>
        <v>-14694</v>
      </c>
      <c r="P98" s="69">
        <f>(P92)+(P97)</f>
        <v>-1924.2699999999986</v>
      </c>
      <c r="Q98" s="113"/>
      <c r="T98" s="106"/>
      <c r="U98" s="105"/>
      <c r="V98" s="62"/>
    </row>
    <row r="99" spans="1:22" ht="12.75" customHeight="1" x14ac:dyDescent="0.25">
      <c r="A99" s="8"/>
      <c r="B99" s="43"/>
      <c r="C99" s="9"/>
      <c r="D99" s="9"/>
      <c r="E99" s="9"/>
      <c r="F99" s="9"/>
      <c r="G99" s="9"/>
      <c r="H99" s="9"/>
      <c r="I99" s="9"/>
      <c r="J99" s="158"/>
      <c r="K99" s="9"/>
      <c r="L99" s="9"/>
      <c r="M99" s="9"/>
      <c r="N99" s="70"/>
      <c r="O99" s="70"/>
      <c r="P99" s="70"/>
      <c r="Q99" s="120"/>
      <c r="V99" s="62"/>
    </row>
    <row r="100" spans="1:22" ht="12.75" customHeight="1" x14ac:dyDescent="0.25">
      <c r="N100" s="93"/>
      <c r="O100" s="84"/>
      <c r="P100" s="118"/>
      <c r="Q100" s="116"/>
    </row>
    <row r="101" spans="1:22" ht="12.75" customHeight="1" x14ac:dyDescent="0.25">
      <c r="N101" s="85"/>
      <c r="O101" s="82"/>
      <c r="P101" s="61"/>
      <c r="Q101" s="121"/>
    </row>
    <row r="102" spans="1:22" ht="12.75" customHeight="1" x14ac:dyDescent="0.25">
      <c r="N102" s="85"/>
      <c r="O102" s="82"/>
      <c r="P102" s="61"/>
      <c r="Q102" s="86"/>
    </row>
    <row r="103" spans="1:22" ht="12.75" customHeight="1" x14ac:dyDescent="0.25">
      <c r="N103" s="85"/>
      <c r="O103" s="82"/>
      <c r="P103" s="61"/>
      <c r="Q103" s="86"/>
    </row>
    <row r="104" spans="1:22" ht="12.75" customHeight="1" x14ac:dyDescent="0.25">
      <c r="N104" s="85"/>
      <c r="O104" s="82"/>
      <c r="P104" s="61"/>
      <c r="Q104" s="86"/>
    </row>
    <row r="105" spans="1:22" ht="12.75" customHeight="1" x14ac:dyDescent="0.25">
      <c r="N105" s="85"/>
      <c r="O105" s="82"/>
      <c r="P105" s="61"/>
      <c r="Q105" s="86"/>
    </row>
    <row r="106" spans="1:22" ht="12.75" customHeight="1" x14ac:dyDescent="0.25">
      <c r="N106" s="85"/>
      <c r="O106" s="82"/>
      <c r="P106" s="61"/>
      <c r="Q106" s="86"/>
    </row>
    <row r="107" spans="1:22" ht="12.75" customHeight="1" x14ac:dyDescent="0.25">
      <c r="N107" s="85"/>
      <c r="O107" s="82"/>
      <c r="P107" s="61"/>
      <c r="Q107" s="86"/>
    </row>
    <row r="108" spans="1:22" ht="12.75" customHeight="1" x14ac:dyDescent="0.25">
      <c r="N108" s="85"/>
      <c r="O108" s="82"/>
      <c r="P108" s="61"/>
      <c r="Q108" s="86"/>
    </row>
    <row r="109" spans="1:22" ht="12.75" customHeight="1" x14ac:dyDescent="0.25">
      <c r="N109" s="85"/>
      <c r="O109" s="82"/>
      <c r="P109" s="61"/>
      <c r="Q109" s="86"/>
    </row>
    <row r="110" spans="1:22" ht="12.75" customHeight="1" x14ac:dyDescent="0.25">
      <c r="N110" s="85"/>
      <c r="O110" s="82"/>
      <c r="P110" s="61"/>
      <c r="Q110" s="86"/>
    </row>
    <row r="111" spans="1:22" ht="12.75" customHeight="1" x14ac:dyDescent="0.25">
      <c r="N111" s="85"/>
      <c r="O111" s="82"/>
      <c r="P111" s="61"/>
      <c r="Q111" s="86"/>
    </row>
    <row r="112" spans="1:22" ht="12.75" customHeight="1" x14ac:dyDescent="0.25">
      <c r="N112" s="85"/>
      <c r="O112" s="82"/>
      <c r="P112" s="61"/>
      <c r="Q112" s="86"/>
    </row>
    <row r="113" spans="14:17" ht="12.75" customHeight="1" x14ac:dyDescent="0.25">
      <c r="N113" s="74"/>
      <c r="O113" s="75"/>
      <c r="P113" s="61"/>
      <c r="Q113" s="86"/>
    </row>
    <row r="114" spans="14:17" ht="12.75" customHeight="1" x14ac:dyDescent="0.25">
      <c r="N114" s="85"/>
      <c r="O114" s="82"/>
      <c r="P114" s="86"/>
      <c r="Q114" s="86"/>
    </row>
    <row r="115" spans="14:17" ht="12.75" customHeight="1" x14ac:dyDescent="0.25">
      <c r="N115" s="85"/>
      <c r="O115" s="82"/>
      <c r="P115" s="86"/>
      <c r="Q115" s="86"/>
    </row>
    <row r="116" spans="14:17" ht="12.75" customHeight="1" x14ac:dyDescent="0.25">
      <c r="N116" s="85"/>
      <c r="O116" s="83"/>
      <c r="P116" s="61"/>
      <c r="Q116" s="86"/>
    </row>
    <row r="117" spans="14:17" ht="12.75" customHeight="1" x14ac:dyDescent="0.25">
      <c r="N117" s="85"/>
      <c r="O117" s="83"/>
      <c r="P117" s="61"/>
      <c r="Q117" s="86"/>
    </row>
    <row r="118" spans="14:17" ht="12.75" customHeight="1" x14ac:dyDescent="0.25">
      <c r="N118" s="85"/>
      <c r="O118" s="83"/>
      <c r="P118" s="61"/>
      <c r="Q118" s="86"/>
    </row>
    <row r="119" spans="14:17" ht="12.75" customHeight="1" x14ac:dyDescent="0.25">
      <c r="N119" s="74"/>
      <c r="O119" s="75"/>
      <c r="P119" s="61"/>
      <c r="Q119" s="86"/>
    </row>
    <row r="120" spans="14:17" ht="12.75" customHeight="1" x14ac:dyDescent="0.25">
      <c r="N120" s="74"/>
      <c r="O120" s="75"/>
      <c r="P120" s="61"/>
      <c r="Q120" s="86"/>
    </row>
    <row r="121" spans="14:17" ht="12.75" customHeight="1" x14ac:dyDescent="0.25">
      <c r="N121" s="74"/>
      <c r="O121" s="75"/>
      <c r="P121" s="61"/>
      <c r="Q121" s="86"/>
    </row>
    <row r="122" spans="14:17" ht="12.75" customHeight="1" x14ac:dyDescent="0.25">
      <c r="N122" s="74"/>
      <c r="O122" s="75"/>
      <c r="P122" s="61"/>
      <c r="Q122" s="86"/>
    </row>
    <row r="123" spans="14:17" ht="12.75" customHeight="1" x14ac:dyDescent="0.25">
      <c r="N123" s="74"/>
      <c r="O123" s="75"/>
      <c r="P123" s="61"/>
      <c r="Q123" s="86"/>
    </row>
    <row r="124" spans="14:17" ht="12.75" customHeight="1" x14ac:dyDescent="0.25">
      <c r="N124" s="74"/>
      <c r="O124" s="75"/>
      <c r="P124" s="61"/>
      <c r="Q124" s="86"/>
    </row>
    <row r="125" spans="14:17" ht="12.75" customHeight="1" x14ac:dyDescent="0.25">
      <c r="N125" s="74"/>
      <c r="O125" s="75"/>
      <c r="P125" s="61"/>
      <c r="Q125" s="86"/>
    </row>
    <row r="126" spans="14:17" ht="12.75" customHeight="1" x14ac:dyDescent="0.25">
      <c r="N126" s="74"/>
      <c r="O126" s="75"/>
      <c r="P126" s="61"/>
      <c r="Q126" s="86"/>
    </row>
    <row r="127" spans="14:17" ht="12.75" customHeight="1" x14ac:dyDescent="0.25">
      <c r="N127" s="74"/>
      <c r="O127" s="75"/>
      <c r="P127" s="61"/>
      <c r="Q127" s="86"/>
    </row>
    <row r="128" spans="14:17" ht="12.75" customHeight="1" x14ac:dyDescent="0.25">
      <c r="N128" s="74"/>
      <c r="O128" s="75"/>
      <c r="P128" s="61"/>
      <c r="Q128" s="86"/>
    </row>
    <row r="129" spans="1:17" ht="12.75" customHeight="1" x14ac:dyDescent="0.25">
      <c r="N129" s="74"/>
      <c r="O129" s="75"/>
      <c r="P129" s="61"/>
      <c r="Q129" s="86"/>
    </row>
    <row r="130" spans="1:17" ht="12.75" customHeight="1" x14ac:dyDescent="0.25">
      <c r="N130" s="74"/>
      <c r="O130" s="75"/>
      <c r="P130" s="61"/>
      <c r="Q130" s="86"/>
    </row>
    <row r="131" spans="1:17" ht="12.75" customHeight="1" x14ac:dyDescent="0.25">
      <c r="N131" s="74"/>
      <c r="O131" s="75"/>
      <c r="P131" s="61"/>
      <c r="Q131" s="86"/>
    </row>
    <row r="132" spans="1:17" ht="12.75" customHeight="1" x14ac:dyDescent="0.25">
      <c r="N132" s="74"/>
      <c r="O132" s="76"/>
      <c r="P132" s="61"/>
      <c r="Q132" s="86"/>
    </row>
    <row r="133" spans="1:17" ht="12.75" customHeight="1" x14ac:dyDescent="0.25">
      <c r="N133" s="74"/>
      <c r="O133" s="75"/>
      <c r="P133" s="61"/>
      <c r="Q133" s="86"/>
    </row>
    <row r="134" spans="1:17" ht="12.75" customHeight="1" x14ac:dyDescent="0.25">
      <c r="N134" s="74"/>
      <c r="O134" s="76"/>
      <c r="P134" s="77"/>
      <c r="Q134" s="86"/>
    </row>
    <row r="135" spans="1:17" ht="12.75" customHeight="1" x14ac:dyDescent="0.25">
      <c r="N135" s="74"/>
      <c r="O135" s="76"/>
      <c r="P135" s="77"/>
      <c r="Q135" s="122"/>
    </row>
    <row r="136" spans="1:17" ht="12.75" customHeight="1" x14ac:dyDescent="0.25">
      <c r="N136" s="72"/>
      <c r="O136" s="72"/>
      <c r="P136" s="78"/>
      <c r="Q136" s="122"/>
    </row>
    <row r="137" spans="1:17" ht="12.75" customHeight="1" x14ac:dyDescent="0.25">
      <c r="A137" s="154"/>
      <c r="B137" s="130"/>
      <c r="C137" s="73"/>
      <c r="D137" s="73"/>
      <c r="E137" s="73"/>
      <c r="F137" s="73"/>
      <c r="G137" s="73"/>
      <c r="H137" s="73"/>
      <c r="I137" s="73"/>
      <c r="J137" s="164"/>
      <c r="K137" s="73"/>
      <c r="L137" s="73"/>
      <c r="M137" s="73"/>
      <c r="N137" s="74"/>
      <c r="O137" s="75"/>
      <c r="P137" s="61"/>
      <c r="Q137" s="123"/>
    </row>
    <row r="138" spans="1:17" ht="12.75" customHeight="1" x14ac:dyDescent="0.25">
      <c r="A138" s="154"/>
      <c r="B138" s="130"/>
      <c r="C138" s="73"/>
      <c r="D138" s="73"/>
      <c r="E138" s="73"/>
      <c r="F138" s="73"/>
      <c r="G138" s="73"/>
      <c r="H138" s="73"/>
      <c r="I138" s="73"/>
      <c r="J138" s="164"/>
      <c r="K138" s="73"/>
      <c r="L138" s="73"/>
      <c r="M138" s="73"/>
      <c r="N138" s="74"/>
      <c r="O138" s="75"/>
      <c r="P138" s="61"/>
      <c r="Q138" s="86"/>
    </row>
    <row r="139" spans="1:17" ht="12.75" customHeight="1" x14ac:dyDescent="0.25">
      <c r="A139" s="154"/>
      <c r="B139" s="130"/>
      <c r="C139" s="73"/>
      <c r="D139" s="73"/>
      <c r="E139" s="73"/>
      <c r="F139" s="73"/>
      <c r="G139" s="73"/>
      <c r="H139" s="73"/>
      <c r="I139" s="73"/>
      <c r="J139" s="164"/>
      <c r="K139" s="73"/>
      <c r="L139" s="73"/>
      <c r="M139" s="73"/>
      <c r="N139" s="74"/>
      <c r="O139" s="75"/>
      <c r="P139" s="61"/>
      <c r="Q139" s="86"/>
    </row>
    <row r="140" spans="1:17" ht="12.75" customHeight="1" x14ac:dyDescent="0.25">
      <c r="A140" s="154"/>
      <c r="B140" s="130"/>
      <c r="C140" s="73"/>
      <c r="D140" s="73"/>
      <c r="E140" s="73"/>
      <c r="F140" s="73"/>
      <c r="G140" s="73"/>
      <c r="H140" s="73"/>
      <c r="I140" s="73"/>
      <c r="J140" s="164"/>
      <c r="K140" s="73"/>
      <c r="L140" s="73"/>
      <c r="M140" s="73"/>
      <c r="N140" s="74"/>
      <c r="O140" s="75"/>
      <c r="P140" s="61"/>
      <c r="Q140" s="86"/>
    </row>
    <row r="141" spans="1:17" ht="12.75" customHeight="1" x14ac:dyDescent="0.25">
      <c r="A141" s="154"/>
      <c r="B141" s="130"/>
      <c r="C141" s="73"/>
      <c r="D141" s="73"/>
      <c r="E141" s="73"/>
      <c r="F141" s="73"/>
      <c r="G141" s="73"/>
      <c r="H141" s="73"/>
      <c r="I141" s="73"/>
      <c r="J141" s="164"/>
      <c r="K141" s="73"/>
      <c r="L141" s="73"/>
      <c r="M141" s="73"/>
      <c r="N141" s="74"/>
      <c r="O141" s="75"/>
      <c r="P141" s="61"/>
      <c r="Q141" s="86"/>
    </row>
    <row r="142" spans="1:17" ht="12.75" customHeight="1" x14ac:dyDescent="0.25">
      <c r="A142" s="154"/>
      <c r="B142" s="130"/>
      <c r="C142" s="73"/>
      <c r="D142" s="73"/>
      <c r="E142" s="73"/>
      <c r="F142" s="73"/>
      <c r="G142" s="73"/>
      <c r="H142" s="73"/>
      <c r="I142" s="73"/>
      <c r="J142" s="164"/>
      <c r="K142" s="73"/>
      <c r="L142" s="73"/>
      <c r="M142" s="73"/>
      <c r="N142" s="74"/>
      <c r="O142" s="75"/>
      <c r="P142" s="61"/>
      <c r="Q142" s="86"/>
    </row>
    <row r="143" spans="1:17" ht="12.75" customHeight="1" x14ac:dyDescent="0.25">
      <c r="A143" s="154"/>
      <c r="B143" s="130"/>
      <c r="C143" s="73"/>
      <c r="D143" s="73"/>
      <c r="E143" s="73"/>
      <c r="F143" s="73"/>
      <c r="G143" s="73"/>
      <c r="H143" s="73"/>
      <c r="I143" s="73"/>
      <c r="J143" s="164"/>
      <c r="K143" s="73"/>
      <c r="L143" s="73"/>
      <c r="M143" s="73"/>
      <c r="N143" s="74"/>
      <c r="O143" s="76"/>
      <c r="P143" s="61"/>
      <c r="Q143" s="86"/>
    </row>
    <row r="144" spans="1:17" ht="12.75" customHeight="1" x14ac:dyDescent="0.25">
      <c r="A144" s="154"/>
      <c r="B144" s="130"/>
      <c r="C144" s="73"/>
      <c r="D144" s="73"/>
      <c r="E144" s="73"/>
      <c r="F144" s="73"/>
      <c r="G144" s="73"/>
      <c r="H144" s="73"/>
      <c r="I144" s="73"/>
      <c r="J144" s="164"/>
      <c r="K144" s="73"/>
      <c r="L144" s="73"/>
      <c r="M144" s="73"/>
      <c r="N144" s="74"/>
      <c r="O144" s="75"/>
      <c r="P144" s="61"/>
      <c r="Q144" s="86"/>
    </row>
    <row r="145" spans="1:17" ht="12.75" customHeight="1" x14ac:dyDescent="0.25">
      <c r="A145" s="154"/>
      <c r="B145" s="130"/>
      <c r="C145" s="73"/>
      <c r="D145" s="73"/>
      <c r="E145" s="73"/>
      <c r="F145" s="73"/>
      <c r="G145" s="73"/>
      <c r="H145" s="73"/>
      <c r="I145" s="73"/>
      <c r="J145" s="164"/>
      <c r="K145" s="73"/>
      <c r="L145" s="73"/>
      <c r="M145" s="73"/>
      <c r="N145" s="74"/>
      <c r="O145" s="76"/>
      <c r="P145" s="77"/>
      <c r="Q145" s="86"/>
    </row>
    <row r="146" spans="1:17" ht="12.75" customHeight="1" x14ac:dyDescent="0.25">
      <c r="A146" s="154"/>
      <c r="B146" s="130"/>
      <c r="C146" s="73"/>
      <c r="D146" s="73"/>
      <c r="E146" s="73"/>
      <c r="F146" s="73"/>
      <c r="G146" s="73"/>
      <c r="H146" s="73"/>
      <c r="I146" s="73"/>
      <c r="J146" s="164"/>
      <c r="K146" s="73"/>
      <c r="L146" s="73"/>
      <c r="M146" s="73"/>
      <c r="N146" s="74"/>
      <c r="O146" s="76"/>
      <c r="P146" s="77"/>
      <c r="Q146" s="122"/>
    </row>
    <row r="147" spans="1:17" ht="12.75" customHeight="1" x14ac:dyDescent="0.25">
      <c r="A147" s="154"/>
      <c r="B147" s="130"/>
      <c r="C147" s="73"/>
      <c r="D147" s="73"/>
      <c r="E147" s="73"/>
      <c r="F147" s="73"/>
      <c r="G147" s="73"/>
      <c r="H147" s="73"/>
      <c r="I147" s="73"/>
      <c r="J147" s="164"/>
      <c r="K147" s="73"/>
      <c r="L147" s="73"/>
      <c r="M147" s="73"/>
      <c r="N147" s="72"/>
      <c r="O147" s="72"/>
      <c r="P147" s="78"/>
      <c r="Q147" s="122"/>
    </row>
    <row r="148" spans="1:17" ht="12.75" customHeight="1" x14ac:dyDescent="0.25">
      <c r="A148" s="154"/>
      <c r="B148" s="130"/>
      <c r="C148" s="73"/>
      <c r="D148" s="73"/>
      <c r="E148" s="73"/>
      <c r="F148" s="73"/>
      <c r="G148" s="73"/>
      <c r="H148" s="73"/>
      <c r="I148" s="73"/>
      <c r="J148" s="164"/>
      <c r="K148" s="73"/>
      <c r="L148" s="73"/>
      <c r="M148" s="73"/>
      <c r="N148" s="79"/>
      <c r="O148" s="80"/>
      <c r="P148" s="81"/>
      <c r="Q148" s="123"/>
    </row>
  </sheetData>
  <mergeCells count="5">
    <mergeCell ref="S2:X2"/>
    <mergeCell ref="T22:V22"/>
    <mergeCell ref="T23:U23"/>
    <mergeCell ref="S21:T21"/>
    <mergeCell ref="S20:T20"/>
  </mergeCells>
  <printOptions horizontalCentered="1" gridLines="1"/>
  <pageMargins left="0.25" right="0.25" top="0.69" bottom="0.41" header="0.3" footer="0.2"/>
  <pageSetup scale="85" fitToHeight="0" orientation="landscape" r:id="rId1"/>
  <headerFooter alignWithMargins="0">
    <oddHeader>&amp;C&amp;"Arial,Bold"&amp;12Fir Grove PTO&amp;"Arial,Regular"&amp;10
&amp;"Arial,Italic"2020-2021 School Year</oddHeader>
    <oddFooter>Page &amp;P of &amp;N</oddFooter>
  </headerFooter>
  <customProperties>
    <customPr name="_pios_id" r:id="rId2"/>
  </customProperties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4</vt:i4>
      </vt:variant>
    </vt:vector>
  </HeadingPairs>
  <TitlesOfParts>
    <vt:vector size="10" baseType="lpstr">
      <vt:lpstr>2022-2023 ACT</vt:lpstr>
      <vt:lpstr>Teacher funds</vt:lpstr>
      <vt:lpstr>June update notes</vt:lpstr>
      <vt:lpstr>Sheet2</vt:lpstr>
      <vt:lpstr>Sheet1</vt:lpstr>
      <vt:lpstr>PY 2020-2021 ACT</vt:lpstr>
      <vt:lpstr>'June update notes'!Print_Area</vt:lpstr>
      <vt:lpstr>'PY 2020-2021 ACT'!Print_Area</vt:lpstr>
      <vt:lpstr>'2022-2023 ACT'!Print_Titles</vt:lpstr>
      <vt:lpstr>'PY 2020-2021 ACT'!Print_Titles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Sarah</dc:creator>
  <cp:keywords>CTPClassification=CTP_NT</cp:keywords>
  <dc:description/>
  <cp:lastModifiedBy>blair hamilton</cp:lastModifiedBy>
  <cp:revision/>
  <cp:lastPrinted>2022-11-03T22:42:35Z</cp:lastPrinted>
  <dcterms:created xsi:type="dcterms:W3CDTF">2013-05-17T04:26:12Z</dcterms:created>
  <dcterms:modified xsi:type="dcterms:W3CDTF">2022-12-05T18:01:11Z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dd37bd8b-e137-4042-bf03-acfa35ea5298</vt:lpwstr>
  </property>
  <property fmtid="{D5CDD505-2E9C-101B-9397-08002B2CF9AE}" pid="3" name="CTP_TimeStamp">
    <vt:lpwstr>2020-07-15 20:30:59Z</vt:lpwstr>
  </property>
  <property fmtid="{D5CDD505-2E9C-101B-9397-08002B2CF9AE}" pid="4" name="CTP_BU">
    <vt:lpwstr>NA</vt:lpwstr>
  </property>
  <property fmtid="{D5CDD505-2E9C-101B-9397-08002B2CF9AE}" pid="5" name="CTP_IDSID">
    <vt:lpwstr>NA</vt:lpwstr>
  </property>
  <property fmtid="{D5CDD505-2E9C-101B-9397-08002B2CF9AE}" pid="6" name="CTP_WWID">
    <vt:lpwstr>NA</vt:lpwstr>
  </property>
  <property fmtid="{D5CDD505-2E9C-101B-9397-08002B2CF9AE}" pid="7" name="CTPClassification">
    <vt:lpwstr>CTP_NT</vt:lpwstr>
  </property>
</Properties>
</file>