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blair\Dropbox\PTO\Budgets\2023-2024 Budget\"/>
    </mc:Choice>
  </mc:AlternateContent>
  <xr:revisionPtr revIDLastSave="0" documentId="13_ncr:1_{8176BA7B-C25D-4CCD-BBDC-04F3FC8D325E}" xr6:coauthVersionLast="47" xr6:coauthVersionMax="47" xr10:uidLastSave="{00000000-0000-0000-0000-000000000000}"/>
  <bookViews>
    <workbookView xWindow="1950" yWindow="1950" windowWidth="21525" windowHeight="13080" tabRatio="694" activeTab="5" xr2:uid="{D721BF12-9F6A-4E8C-AB2A-19ED982F85A5}"/>
  </bookViews>
  <sheets>
    <sheet name="23 23 Proposed" sheetId="3" r:id="rId1"/>
    <sheet name="P&amp;L Summary to Date" sheetId="10" r:id="rId2"/>
    <sheet name="Current Monthly P&amp;L " sheetId="8" r:id="rId3"/>
    <sheet name="P&amp;L Past Yrs" sheetId="7" r:id="rId4"/>
    <sheet name="Income" sheetId="12" r:id="rId5"/>
    <sheet name="Expenses" sheetId="13" r:id="rId6"/>
    <sheet name="Sheet1" sheetId="1" r:id="rId7"/>
    <sheet name="Sheet2" sheetId="2" r:id="rId8"/>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4" i="13" l="1"/>
  <c r="G13" i="13"/>
  <c r="G12" i="13"/>
  <c r="G10" i="13"/>
  <c r="G9" i="13"/>
  <c r="G8" i="13"/>
  <c r="G7" i="13"/>
  <c r="G5" i="13"/>
  <c r="G6" i="13"/>
  <c r="G4" i="13"/>
  <c r="G3" i="13"/>
  <c r="G11" i="13"/>
  <c r="C20" i="13"/>
  <c r="A2" i="12"/>
  <c r="A3" i="12"/>
  <c r="A4" i="12"/>
  <c r="A5" i="12"/>
  <c r="A6" i="12"/>
  <c r="A7" i="12"/>
  <c r="A8" i="12"/>
  <c r="A9" i="12"/>
  <c r="A10" i="12"/>
  <c r="A11" i="12"/>
  <c r="A12" i="12"/>
  <c r="A14" i="12"/>
  <c r="A15" i="12"/>
  <c r="G12" i="7"/>
  <c r="B9" i="10"/>
  <c r="B41" i="10"/>
  <c r="C92" i="3"/>
  <c r="C43" i="3"/>
  <c r="G25" i="7"/>
  <c r="B14" i="10"/>
  <c r="L14" i="8"/>
  <c r="G24" i="7"/>
  <c r="C51" i="3"/>
  <c r="C52" i="3"/>
  <c r="C53" i="3"/>
  <c r="C54" i="3"/>
  <c r="C55" i="3"/>
  <c r="C56" i="3"/>
  <c r="C57" i="3"/>
  <c r="C58" i="3"/>
  <c r="C59" i="3"/>
  <c r="C61" i="3"/>
  <c r="C62" i="3"/>
  <c r="C63" i="3"/>
  <c r="C64" i="3"/>
  <c r="C65" i="3"/>
  <c r="C66" i="3"/>
  <c r="C67" i="3"/>
  <c r="C68" i="3"/>
  <c r="C69" i="3"/>
  <c r="C71" i="3"/>
  <c r="C72" i="3"/>
  <c r="C73" i="3"/>
  <c r="C75" i="3"/>
  <c r="C76" i="3"/>
  <c r="C78" i="3"/>
  <c r="C80" i="3"/>
  <c r="C50" i="3"/>
  <c r="C45" i="3"/>
  <c r="C44" i="3"/>
  <c r="C42" i="3"/>
  <c r="C31" i="3"/>
  <c r="C12" i="3"/>
  <c r="C29" i="3"/>
  <c r="C26" i="3"/>
  <c r="C22" i="3"/>
  <c r="C23" i="3"/>
  <c r="C24" i="3"/>
  <c r="C25" i="3"/>
  <c r="C27" i="3"/>
  <c r="C28" i="3"/>
  <c r="C30" i="3"/>
  <c r="C32" i="3"/>
  <c r="C33" i="3"/>
  <c r="C35" i="3"/>
  <c r="C36" i="3"/>
  <c r="C38" i="3"/>
  <c r="F19" i="3"/>
  <c r="C5" i="3"/>
  <c r="C7" i="3"/>
  <c r="C8" i="3"/>
  <c r="C9" i="3"/>
  <c r="C10" i="3"/>
  <c r="C11" i="3"/>
  <c r="C14" i="3"/>
  <c r="C15" i="3"/>
  <c r="C17" i="3"/>
  <c r="C18" i="3"/>
  <c r="C4" i="3"/>
  <c r="D88" i="3"/>
  <c r="D89" i="3" s="1"/>
  <c r="D49" i="3"/>
  <c r="D83" i="3" s="1"/>
  <c r="D19" i="3"/>
  <c r="B7" i="10"/>
  <c r="B18" i="10" s="1"/>
  <c r="B15" i="12" s="1"/>
  <c r="B8" i="10"/>
  <c r="B10" i="10"/>
  <c r="B11" i="10"/>
  <c r="B12" i="10"/>
  <c r="B13" i="10"/>
  <c r="B16" i="10"/>
  <c r="B17" i="10"/>
  <c r="B21" i="10"/>
  <c r="B22" i="10"/>
  <c r="B23" i="10"/>
  <c r="B24" i="10"/>
  <c r="B25" i="10"/>
  <c r="B26" i="10"/>
  <c r="B27" i="10"/>
  <c r="B28" i="10"/>
  <c r="B29" i="10"/>
  <c r="B30" i="10"/>
  <c r="B31" i="10"/>
  <c r="B32" i="10"/>
  <c r="B33" i="10"/>
  <c r="B40" i="10" s="1"/>
  <c r="B34" i="10"/>
  <c r="B35" i="10"/>
  <c r="B36" i="10"/>
  <c r="B37" i="10"/>
  <c r="B38" i="10"/>
  <c r="B39" i="10"/>
  <c r="B42" i="10"/>
  <c r="B43" i="10"/>
  <c r="B44" i="10"/>
  <c r="B45" i="10"/>
  <c r="B46" i="10"/>
  <c r="B47" i="10"/>
  <c r="B48" i="10"/>
  <c r="B49" i="10"/>
  <c r="B50" i="10"/>
  <c r="B51" i="10"/>
  <c r="B52" i="10"/>
  <c r="B53" i="10"/>
  <c r="B54" i="10"/>
  <c r="B55" i="10"/>
  <c r="B56" i="10"/>
  <c r="B57" i="10"/>
  <c r="B58" i="10"/>
  <c r="B59" i="10"/>
  <c r="B63" i="10"/>
  <c r="B65" i="10" s="1"/>
  <c r="B66" i="10" s="1"/>
  <c r="B64" i="10"/>
  <c r="B7" i="8"/>
  <c r="C7" i="8"/>
  <c r="C21" i="8" s="1"/>
  <c r="C22" i="8" s="1"/>
  <c r="C64" i="8" s="1"/>
  <c r="D7" i="8"/>
  <c r="E7" i="8"/>
  <c r="F7" i="8"/>
  <c r="G7" i="8"/>
  <c r="H7" i="8"/>
  <c r="I7" i="8"/>
  <c r="J7" i="8"/>
  <c r="K7" i="8"/>
  <c r="L7" i="8"/>
  <c r="B8" i="8"/>
  <c r="M8" i="8" s="1"/>
  <c r="C8" i="8"/>
  <c r="D8" i="8"/>
  <c r="E8" i="8"/>
  <c r="F8" i="8"/>
  <c r="G8" i="8"/>
  <c r="H8" i="8"/>
  <c r="I8" i="8"/>
  <c r="J8" i="8"/>
  <c r="J21" i="8" s="1"/>
  <c r="J22" i="8" s="1"/>
  <c r="J64" i="8" s="1"/>
  <c r="K8" i="8"/>
  <c r="K21" i="8" s="1"/>
  <c r="K22" i="8" s="1"/>
  <c r="K64" i="8" s="1"/>
  <c r="L8" i="8"/>
  <c r="B9" i="8"/>
  <c r="C9" i="8"/>
  <c r="D9" i="8"/>
  <c r="E9" i="8"/>
  <c r="M9" i="8" s="1"/>
  <c r="F9" i="8"/>
  <c r="G9" i="8"/>
  <c r="H9" i="8"/>
  <c r="I9" i="8"/>
  <c r="J9" i="8"/>
  <c r="K9" i="8"/>
  <c r="B10" i="8"/>
  <c r="C10" i="8"/>
  <c r="D10" i="8"/>
  <c r="E10" i="8"/>
  <c r="F10" i="8"/>
  <c r="G10" i="8"/>
  <c r="H10" i="8"/>
  <c r="I10" i="8"/>
  <c r="M10" i="8" s="1"/>
  <c r="J10" i="8"/>
  <c r="K10" i="8"/>
  <c r="L10" i="8"/>
  <c r="L21" i="8" s="1"/>
  <c r="L22" i="8" s="1"/>
  <c r="B11" i="8"/>
  <c r="C11" i="8"/>
  <c r="D11" i="8"/>
  <c r="E11" i="8"/>
  <c r="F11" i="8"/>
  <c r="G11" i="8"/>
  <c r="H11" i="8"/>
  <c r="I11" i="8"/>
  <c r="J11" i="8"/>
  <c r="K11" i="8"/>
  <c r="L11" i="8"/>
  <c r="M11" i="8"/>
  <c r="B12" i="8"/>
  <c r="M12" i="8" s="1"/>
  <c r="C12" i="8"/>
  <c r="D12" i="8"/>
  <c r="E12" i="8"/>
  <c r="F12" i="8"/>
  <c r="G12" i="8"/>
  <c r="H12" i="8"/>
  <c r="I12" i="8"/>
  <c r="J12" i="8"/>
  <c r="K12" i="8"/>
  <c r="L12" i="8"/>
  <c r="B13" i="8"/>
  <c r="C13" i="8"/>
  <c r="D13" i="8"/>
  <c r="E13" i="8"/>
  <c r="M13" i="8" s="1"/>
  <c r="F13" i="8"/>
  <c r="G13" i="8"/>
  <c r="H13" i="8"/>
  <c r="I13" i="8"/>
  <c r="J13" i="8"/>
  <c r="K13" i="8"/>
  <c r="L13" i="8"/>
  <c r="B14" i="8"/>
  <c r="C14" i="8"/>
  <c r="D14" i="8"/>
  <c r="E14" i="8"/>
  <c r="F14" i="8"/>
  <c r="G14" i="8"/>
  <c r="H14" i="8"/>
  <c r="I14" i="8"/>
  <c r="M14" i="8" s="1"/>
  <c r="J14" i="8"/>
  <c r="K14" i="8"/>
  <c r="B15" i="8"/>
  <c r="C15" i="8"/>
  <c r="D15" i="8"/>
  <c r="D18" i="8" s="1"/>
  <c r="E15" i="8"/>
  <c r="E18" i="8" s="1"/>
  <c r="E21" i="8" s="1"/>
  <c r="E22" i="8" s="1"/>
  <c r="E64" i="8" s="1"/>
  <c r="E70" i="8" s="1"/>
  <c r="F15" i="8"/>
  <c r="F18" i="8" s="1"/>
  <c r="F21" i="8" s="1"/>
  <c r="F22" i="8" s="1"/>
  <c r="G15" i="8"/>
  <c r="G18" i="8" s="1"/>
  <c r="G21" i="8" s="1"/>
  <c r="G22" i="8" s="1"/>
  <c r="G64" i="8" s="1"/>
  <c r="G70" i="8" s="1"/>
  <c r="H15" i="8"/>
  <c r="H18" i="8" s="1"/>
  <c r="I15" i="8"/>
  <c r="J15" i="8"/>
  <c r="K15" i="8"/>
  <c r="L15" i="8"/>
  <c r="M15" i="8"/>
  <c r="B16" i="8"/>
  <c r="M16" i="8" s="1"/>
  <c r="C16" i="8"/>
  <c r="D16" i="8"/>
  <c r="E16" i="8"/>
  <c r="F16" i="8"/>
  <c r="G16" i="8"/>
  <c r="H16" i="8"/>
  <c r="I16" i="8"/>
  <c r="J16" i="8"/>
  <c r="K16" i="8"/>
  <c r="L16" i="8"/>
  <c r="B17" i="8"/>
  <c r="C17" i="8"/>
  <c r="D17" i="8"/>
  <c r="E17" i="8"/>
  <c r="M17" i="8" s="1"/>
  <c r="F17" i="8"/>
  <c r="G17" i="8"/>
  <c r="H17" i="8"/>
  <c r="I17" i="8"/>
  <c r="J17" i="8"/>
  <c r="K17" i="8"/>
  <c r="L17" i="8"/>
  <c r="B18" i="8"/>
  <c r="C18" i="8"/>
  <c r="I18" i="8"/>
  <c r="J18" i="8"/>
  <c r="K18" i="8"/>
  <c r="L18" i="8"/>
  <c r="B19" i="8"/>
  <c r="C19" i="8"/>
  <c r="D19" i="8"/>
  <c r="E19" i="8"/>
  <c r="F19" i="8"/>
  <c r="G19" i="8"/>
  <c r="H19" i="8"/>
  <c r="I19" i="8"/>
  <c r="J19" i="8"/>
  <c r="K19" i="8"/>
  <c r="L19" i="8"/>
  <c r="M19" i="8"/>
  <c r="B20" i="8"/>
  <c r="M20" i="8" s="1"/>
  <c r="C20" i="8"/>
  <c r="D20" i="8"/>
  <c r="E20" i="8"/>
  <c r="F20" i="8"/>
  <c r="G20" i="8"/>
  <c r="H20" i="8"/>
  <c r="I20" i="8"/>
  <c r="J20" i="8"/>
  <c r="K20" i="8"/>
  <c r="L20" i="8"/>
  <c r="B24" i="8"/>
  <c r="C24" i="8"/>
  <c r="D24" i="8"/>
  <c r="E24" i="8"/>
  <c r="E63" i="8" s="1"/>
  <c r="F24" i="8"/>
  <c r="F63" i="8" s="1"/>
  <c r="G24" i="8"/>
  <c r="G63" i="8" s="1"/>
  <c r="H24" i="8"/>
  <c r="H63" i="8" s="1"/>
  <c r="I24" i="8"/>
  <c r="J24" i="8"/>
  <c r="K24" i="8"/>
  <c r="L24" i="8"/>
  <c r="M24" i="8"/>
  <c r="B25" i="8"/>
  <c r="M25" i="8" s="1"/>
  <c r="C25" i="8"/>
  <c r="D25" i="8"/>
  <c r="E25" i="8"/>
  <c r="F25" i="8"/>
  <c r="G25" i="8"/>
  <c r="H25" i="8"/>
  <c r="I25" i="8"/>
  <c r="J25" i="8"/>
  <c r="K25" i="8"/>
  <c r="L25" i="8"/>
  <c r="B26" i="8"/>
  <c r="C26" i="8"/>
  <c r="D26" i="8"/>
  <c r="E26" i="8"/>
  <c r="M26" i="8" s="1"/>
  <c r="F26" i="8"/>
  <c r="G26" i="8"/>
  <c r="H26" i="8"/>
  <c r="I26" i="8"/>
  <c r="J26" i="8"/>
  <c r="K26" i="8"/>
  <c r="L26" i="8"/>
  <c r="B27" i="8"/>
  <c r="M27" i="8" s="1"/>
  <c r="C27" i="8"/>
  <c r="D27" i="8"/>
  <c r="E27" i="8"/>
  <c r="F27" i="8"/>
  <c r="G27" i="8"/>
  <c r="H27" i="8"/>
  <c r="I27" i="8"/>
  <c r="J27" i="8"/>
  <c r="K27" i="8"/>
  <c r="L27" i="8"/>
  <c r="B28" i="8"/>
  <c r="C28" i="8"/>
  <c r="D28" i="8"/>
  <c r="E28" i="8"/>
  <c r="F28" i="8"/>
  <c r="G28" i="8"/>
  <c r="H28" i="8"/>
  <c r="I28" i="8"/>
  <c r="J28" i="8"/>
  <c r="K28" i="8"/>
  <c r="L28" i="8"/>
  <c r="M28" i="8"/>
  <c r="B29" i="8"/>
  <c r="M29" i="8" s="1"/>
  <c r="C29" i="8"/>
  <c r="D29" i="8"/>
  <c r="E29" i="8"/>
  <c r="F29" i="8"/>
  <c r="G29" i="8"/>
  <c r="H29" i="8"/>
  <c r="I29" i="8"/>
  <c r="J29" i="8"/>
  <c r="K29" i="8"/>
  <c r="L29" i="8"/>
  <c r="B30" i="8"/>
  <c r="C30" i="8"/>
  <c r="D30" i="8"/>
  <c r="E30" i="8"/>
  <c r="M30" i="8" s="1"/>
  <c r="F30" i="8"/>
  <c r="G30" i="8"/>
  <c r="H30" i="8"/>
  <c r="I30" i="8"/>
  <c r="J30" i="8"/>
  <c r="K30" i="8"/>
  <c r="L30" i="8"/>
  <c r="B31" i="8"/>
  <c r="M31" i="8" s="1"/>
  <c r="C31" i="8"/>
  <c r="D31" i="8"/>
  <c r="E31" i="8"/>
  <c r="F31" i="8"/>
  <c r="G31" i="8"/>
  <c r="H31" i="8"/>
  <c r="I31" i="8"/>
  <c r="J31" i="8"/>
  <c r="K31" i="8"/>
  <c r="L31" i="8"/>
  <c r="B32" i="8"/>
  <c r="C32" i="8"/>
  <c r="D32" i="8"/>
  <c r="E32" i="8"/>
  <c r="F32" i="8"/>
  <c r="G32" i="8"/>
  <c r="H32" i="8"/>
  <c r="I32" i="8"/>
  <c r="J32" i="8"/>
  <c r="K32" i="8"/>
  <c r="L32" i="8"/>
  <c r="M32" i="8"/>
  <c r="B33" i="8"/>
  <c r="M33" i="8" s="1"/>
  <c r="C33" i="8"/>
  <c r="D33" i="8"/>
  <c r="E33" i="8"/>
  <c r="F33" i="8"/>
  <c r="G33" i="8"/>
  <c r="H33" i="8"/>
  <c r="I33" i="8"/>
  <c r="J33" i="8"/>
  <c r="K33" i="8"/>
  <c r="L33" i="8"/>
  <c r="B34" i="8"/>
  <c r="C34" i="8"/>
  <c r="D34" i="8"/>
  <c r="E34" i="8"/>
  <c r="M34" i="8" s="1"/>
  <c r="F34" i="8"/>
  <c r="G34" i="8"/>
  <c r="H34" i="8"/>
  <c r="I34" i="8"/>
  <c r="J34" i="8"/>
  <c r="K34" i="8"/>
  <c r="L34" i="8"/>
  <c r="B35" i="8"/>
  <c r="C35" i="8"/>
  <c r="D35" i="8"/>
  <c r="E35" i="8"/>
  <c r="F35" i="8"/>
  <c r="G35" i="8"/>
  <c r="H35" i="8"/>
  <c r="I35" i="8"/>
  <c r="M35" i="8" s="1"/>
  <c r="J35" i="8"/>
  <c r="K35" i="8"/>
  <c r="L35" i="8"/>
  <c r="B36" i="8"/>
  <c r="C36" i="8"/>
  <c r="D36" i="8"/>
  <c r="D43" i="8" s="1"/>
  <c r="E36" i="8"/>
  <c r="E43" i="8" s="1"/>
  <c r="F36" i="8"/>
  <c r="F43" i="8" s="1"/>
  <c r="G36" i="8"/>
  <c r="G43" i="8" s="1"/>
  <c r="H36" i="8"/>
  <c r="H43" i="8" s="1"/>
  <c r="I36" i="8"/>
  <c r="J36" i="8"/>
  <c r="K36" i="8"/>
  <c r="L36" i="8"/>
  <c r="M36" i="8"/>
  <c r="B37" i="8"/>
  <c r="M37" i="8" s="1"/>
  <c r="C37" i="8"/>
  <c r="D37" i="8"/>
  <c r="E37" i="8"/>
  <c r="F37" i="8"/>
  <c r="G37" i="8"/>
  <c r="H37" i="8"/>
  <c r="I37" i="8"/>
  <c r="J37" i="8"/>
  <c r="K37" i="8"/>
  <c r="L37" i="8"/>
  <c r="B38" i="8"/>
  <c r="C38" i="8"/>
  <c r="D38" i="8"/>
  <c r="E38" i="8"/>
  <c r="M38" i="8" s="1"/>
  <c r="F38" i="8"/>
  <c r="G38" i="8"/>
  <c r="H38" i="8"/>
  <c r="I38" i="8"/>
  <c r="J38" i="8"/>
  <c r="K38" i="8"/>
  <c r="L38" i="8"/>
  <c r="B39" i="8"/>
  <c r="C39" i="8"/>
  <c r="D39" i="8"/>
  <c r="E39" i="8"/>
  <c r="F39" i="8"/>
  <c r="G39" i="8"/>
  <c r="H39" i="8"/>
  <c r="I39" i="8"/>
  <c r="M39" i="8" s="1"/>
  <c r="J39" i="8"/>
  <c r="K39" i="8"/>
  <c r="L39" i="8"/>
  <c r="L43" i="8" s="1"/>
  <c r="B40" i="8"/>
  <c r="C40" i="8"/>
  <c r="D40" i="8"/>
  <c r="E40" i="8"/>
  <c r="F40" i="8"/>
  <c r="G40" i="8"/>
  <c r="H40" i="8"/>
  <c r="I40" i="8"/>
  <c r="J40" i="8"/>
  <c r="K40" i="8"/>
  <c r="L40" i="8"/>
  <c r="M40" i="8"/>
  <c r="B41" i="8"/>
  <c r="B43" i="8" s="1"/>
  <c r="C41" i="8"/>
  <c r="C43" i="8" s="1"/>
  <c r="C63" i="8" s="1"/>
  <c r="D41" i="8"/>
  <c r="E41" i="8"/>
  <c r="F41" i="8"/>
  <c r="G41" i="8"/>
  <c r="H41" i="8"/>
  <c r="I41" i="8"/>
  <c r="J41" i="8"/>
  <c r="K41" i="8"/>
  <c r="L41" i="8"/>
  <c r="B42" i="8"/>
  <c r="C42" i="8"/>
  <c r="D42" i="8"/>
  <c r="E42" i="8"/>
  <c r="M42" i="8" s="1"/>
  <c r="F42" i="8"/>
  <c r="G42" i="8"/>
  <c r="H42" i="8"/>
  <c r="I42" i="8"/>
  <c r="J42" i="8"/>
  <c r="K42" i="8"/>
  <c r="L42" i="8"/>
  <c r="I43" i="8"/>
  <c r="J43" i="8"/>
  <c r="K43" i="8"/>
  <c r="B44" i="8"/>
  <c r="C44" i="8"/>
  <c r="D44" i="8"/>
  <c r="E44" i="8"/>
  <c r="F44" i="8"/>
  <c r="G44" i="8"/>
  <c r="H44" i="8"/>
  <c r="I44" i="8"/>
  <c r="J44" i="8"/>
  <c r="K44" i="8"/>
  <c r="L44" i="8"/>
  <c r="M44" i="8"/>
  <c r="B45" i="8"/>
  <c r="M45" i="8" s="1"/>
  <c r="C45" i="8"/>
  <c r="D45" i="8"/>
  <c r="E45" i="8"/>
  <c r="F45" i="8"/>
  <c r="G45" i="8"/>
  <c r="H45" i="8"/>
  <c r="I45" i="8"/>
  <c r="J45" i="8"/>
  <c r="K45" i="8"/>
  <c r="L45" i="8"/>
  <c r="B46" i="8"/>
  <c r="C46" i="8"/>
  <c r="D46" i="8"/>
  <c r="E46" i="8"/>
  <c r="M46" i="8" s="1"/>
  <c r="F46" i="8"/>
  <c r="G46" i="8"/>
  <c r="H46" i="8"/>
  <c r="I46" i="8"/>
  <c r="J46" i="8"/>
  <c r="K46" i="8"/>
  <c r="L46" i="8"/>
  <c r="B47" i="8"/>
  <c r="C47" i="8"/>
  <c r="D47" i="8"/>
  <c r="E47" i="8"/>
  <c r="F47" i="8"/>
  <c r="G47" i="8"/>
  <c r="H47" i="8"/>
  <c r="I47" i="8"/>
  <c r="M47" i="8" s="1"/>
  <c r="J47" i="8"/>
  <c r="K47" i="8"/>
  <c r="L47" i="8"/>
  <c r="B48" i="8"/>
  <c r="C48" i="8"/>
  <c r="D48" i="8"/>
  <c r="E48" i="8"/>
  <c r="F48" i="8"/>
  <c r="G48" i="8"/>
  <c r="H48" i="8"/>
  <c r="I48" i="8"/>
  <c r="J48" i="8"/>
  <c r="K48" i="8"/>
  <c r="L48" i="8"/>
  <c r="M48" i="8"/>
  <c r="B49" i="8"/>
  <c r="M49" i="8" s="1"/>
  <c r="C49" i="8"/>
  <c r="D49" i="8"/>
  <c r="E49" i="8"/>
  <c r="F49" i="8"/>
  <c r="G49" i="8"/>
  <c r="H49" i="8"/>
  <c r="I49" i="8"/>
  <c r="J49" i="8"/>
  <c r="K49" i="8"/>
  <c r="L49" i="8"/>
  <c r="B50" i="8"/>
  <c r="C50" i="8"/>
  <c r="D50" i="8"/>
  <c r="E50" i="8"/>
  <c r="M50" i="8" s="1"/>
  <c r="F50" i="8"/>
  <c r="G50" i="8"/>
  <c r="H50" i="8"/>
  <c r="I50" i="8"/>
  <c r="J50" i="8"/>
  <c r="K50" i="8"/>
  <c r="L50" i="8"/>
  <c r="B51" i="8"/>
  <c r="C51" i="8"/>
  <c r="D51" i="8"/>
  <c r="E51" i="8"/>
  <c r="F51" i="8"/>
  <c r="G51" i="8"/>
  <c r="H51" i="8"/>
  <c r="I51" i="8"/>
  <c r="M51" i="8" s="1"/>
  <c r="J51" i="8"/>
  <c r="K51" i="8"/>
  <c r="L51" i="8"/>
  <c r="B52" i="8"/>
  <c r="C52" i="8"/>
  <c r="D52" i="8"/>
  <c r="E52" i="8"/>
  <c r="F52" i="8"/>
  <c r="G52" i="8"/>
  <c r="H52" i="8"/>
  <c r="I52" i="8"/>
  <c r="J52" i="8"/>
  <c r="K52" i="8"/>
  <c r="L52" i="8"/>
  <c r="M52" i="8"/>
  <c r="B53" i="8"/>
  <c r="M53" i="8" s="1"/>
  <c r="C53" i="8"/>
  <c r="D53" i="8"/>
  <c r="E53" i="8"/>
  <c r="F53" i="8"/>
  <c r="G53" i="8"/>
  <c r="H53" i="8"/>
  <c r="I53" i="8"/>
  <c r="J53" i="8"/>
  <c r="K53" i="8"/>
  <c r="L53" i="8"/>
  <c r="B54" i="8"/>
  <c r="C54" i="8"/>
  <c r="D54" i="8"/>
  <c r="E54" i="8"/>
  <c r="M54" i="8" s="1"/>
  <c r="F54" i="8"/>
  <c r="G54" i="8"/>
  <c r="H54" i="8"/>
  <c r="I54" i="8"/>
  <c r="J54" i="8"/>
  <c r="K54" i="8"/>
  <c r="L54" i="8"/>
  <c r="B55" i="8"/>
  <c r="C55" i="8"/>
  <c r="D55" i="8"/>
  <c r="E55" i="8"/>
  <c r="F55" i="8"/>
  <c r="G55" i="8"/>
  <c r="H55" i="8"/>
  <c r="I55" i="8"/>
  <c r="M55" i="8" s="1"/>
  <c r="J55" i="8"/>
  <c r="K55" i="8"/>
  <c r="L55" i="8"/>
  <c r="B56" i="8"/>
  <c r="C56" i="8"/>
  <c r="D56" i="8"/>
  <c r="E56" i="8"/>
  <c r="F56" i="8"/>
  <c r="G56" i="8"/>
  <c r="H56" i="8"/>
  <c r="I56" i="8"/>
  <c r="J56" i="8"/>
  <c r="K56" i="8"/>
  <c r="L56" i="8"/>
  <c r="M56" i="8"/>
  <c r="B57" i="8"/>
  <c r="M57" i="8" s="1"/>
  <c r="C57" i="8"/>
  <c r="D57" i="8"/>
  <c r="E57" i="8"/>
  <c r="F57" i="8"/>
  <c r="G57" i="8"/>
  <c r="H57" i="8"/>
  <c r="I57" i="8"/>
  <c r="J57" i="8"/>
  <c r="K57" i="8"/>
  <c r="L57" i="8"/>
  <c r="B58" i="8"/>
  <c r="C58" i="8"/>
  <c r="D58" i="8"/>
  <c r="E58" i="8"/>
  <c r="M58" i="8" s="1"/>
  <c r="F58" i="8"/>
  <c r="G58" i="8"/>
  <c r="H58" i="8"/>
  <c r="I58" i="8"/>
  <c r="J58" i="8"/>
  <c r="K58" i="8"/>
  <c r="L58" i="8"/>
  <c r="B59" i="8"/>
  <c r="C59" i="8"/>
  <c r="D59" i="8"/>
  <c r="E59" i="8"/>
  <c r="F59" i="8"/>
  <c r="G59" i="8"/>
  <c r="H59" i="8"/>
  <c r="I59" i="8"/>
  <c r="M59" i="8" s="1"/>
  <c r="J59" i="8"/>
  <c r="K59" i="8"/>
  <c r="L59" i="8"/>
  <c r="B60" i="8"/>
  <c r="C60" i="8"/>
  <c r="D60" i="8"/>
  <c r="E60" i="8"/>
  <c r="F60" i="8"/>
  <c r="G60" i="8"/>
  <c r="H60" i="8"/>
  <c r="I60" i="8"/>
  <c r="J60" i="8"/>
  <c r="K60" i="8"/>
  <c r="L60" i="8"/>
  <c r="M60" i="8"/>
  <c r="B61" i="8"/>
  <c r="M61" i="8" s="1"/>
  <c r="C61" i="8"/>
  <c r="D61" i="8"/>
  <c r="E61" i="8"/>
  <c r="F61" i="8"/>
  <c r="G61" i="8"/>
  <c r="H61" i="8"/>
  <c r="I61" i="8"/>
  <c r="J61" i="8"/>
  <c r="K61" i="8"/>
  <c r="L61" i="8"/>
  <c r="B62" i="8"/>
  <c r="C62" i="8"/>
  <c r="D62" i="8"/>
  <c r="E62" i="8"/>
  <c r="M62" i="8" s="1"/>
  <c r="F62" i="8"/>
  <c r="G62" i="8"/>
  <c r="H62" i="8"/>
  <c r="I62" i="8"/>
  <c r="J62" i="8"/>
  <c r="K62" i="8"/>
  <c r="L62" i="8"/>
  <c r="I63" i="8"/>
  <c r="J63" i="8"/>
  <c r="K63" i="8"/>
  <c r="B66" i="8"/>
  <c r="B68" i="8" s="1"/>
  <c r="C66" i="8"/>
  <c r="C68" i="8" s="1"/>
  <c r="C69" i="8" s="1"/>
  <c r="D66" i="8"/>
  <c r="D68" i="8" s="1"/>
  <c r="D69" i="8" s="1"/>
  <c r="E66" i="8"/>
  <c r="E68" i="8" s="1"/>
  <c r="E69" i="8" s="1"/>
  <c r="F66" i="8"/>
  <c r="G66" i="8"/>
  <c r="G68" i="8" s="1"/>
  <c r="G69" i="8" s="1"/>
  <c r="H66" i="8"/>
  <c r="H68" i="8" s="1"/>
  <c r="H69" i="8" s="1"/>
  <c r="I66" i="8"/>
  <c r="J66" i="8"/>
  <c r="K66" i="8"/>
  <c r="L66" i="8"/>
  <c r="B67" i="8"/>
  <c r="C67" i="8"/>
  <c r="D67" i="8"/>
  <c r="E67" i="8"/>
  <c r="F67" i="8"/>
  <c r="F68" i="8" s="1"/>
  <c r="F69" i="8" s="1"/>
  <c r="G67" i="8"/>
  <c r="H67" i="8"/>
  <c r="M67" i="8" s="1"/>
  <c r="I67" i="8"/>
  <c r="J67" i="8"/>
  <c r="K67" i="8"/>
  <c r="L67" i="8"/>
  <c r="I68" i="8"/>
  <c r="I69" i="8" s="1"/>
  <c r="J68" i="8"/>
  <c r="J69" i="8" s="1"/>
  <c r="K68" i="8"/>
  <c r="K69" i="8" s="1"/>
  <c r="L68" i="8"/>
  <c r="L69" i="8" s="1"/>
  <c r="B6" i="7"/>
  <c r="C6" i="7"/>
  <c r="D6" i="7"/>
  <c r="D8" i="7" s="1"/>
  <c r="E6" i="7"/>
  <c r="E8" i="7" s="1"/>
  <c r="F6" i="7"/>
  <c r="G6" i="7"/>
  <c r="B7" i="7"/>
  <c r="B8" i="7" s="1"/>
  <c r="C7" i="7"/>
  <c r="D7" i="7"/>
  <c r="E7" i="7"/>
  <c r="F7" i="7"/>
  <c r="G7" i="7"/>
  <c r="C8" i="7"/>
  <c r="G8" i="7"/>
  <c r="B9" i="7"/>
  <c r="C9" i="7"/>
  <c r="D9" i="7"/>
  <c r="E9" i="7"/>
  <c r="F9" i="7"/>
  <c r="G9" i="7"/>
  <c r="B10" i="7"/>
  <c r="C10" i="7"/>
  <c r="D10" i="7"/>
  <c r="E10" i="7"/>
  <c r="F10" i="7"/>
  <c r="G10" i="7"/>
  <c r="B11" i="7"/>
  <c r="C11" i="7"/>
  <c r="D11" i="7"/>
  <c r="E11" i="7"/>
  <c r="F11" i="7"/>
  <c r="G11" i="7"/>
  <c r="B12" i="7"/>
  <c r="C12" i="7"/>
  <c r="D12" i="7"/>
  <c r="E12" i="7"/>
  <c r="F12" i="7"/>
  <c r="B13" i="7"/>
  <c r="C13" i="7"/>
  <c r="D13" i="7"/>
  <c r="E13" i="7"/>
  <c r="F13" i="7"/>
  <c r="G13" i="7"/>
  <c r="B14" i="7"/>
  <c r="C14" i="7"/>
  <c r="D14" i="7"/>
  <c r="E14" i="7"/>
  <c r="F14" i="7"/>
  <c r="G14" i="7"/>
  <c r="B15" i="7"/>
  <c r="C15" i="7"/>
  <c r="D15" i="7"/>
  <c r="E15" i="7"/>
  <c r="F15" i="7"/>
  <c r="G15" i="7"/>
  <c r="B16" i="7"/>
  <c r="C16" i="7"/>
  <c r="D16" i="7"/>
  <c r="E16" i="7"/>
  <c r="F16" i="7"/>
  <c r="G16" i="7"/>
  <c r="B17" i="7"/>
  <c r="C17" i="7"/>
  <c r="D17" i="7"/>
  <c r="E17" i="7"/>
  <c r="F17" i="7"/>
  <c r="G17" i="7"/>
  <c r="B18" i="7"/>
  <c r="C18" i="7"/>
  <c r="D18" i="7"/>
  <c r="E18" i="7"/>
  <c r="F18" i="7"/>
  <c r="G18" i="7"/>
  <c r="B19" i="7"/>
  <c r="C19" i="7"/>
  <c r="D19" i="7"/>
  <c r="E19" i="7"/>
  <c r="F19" i="7"/>
  <c r="G19" i="7"/>
  <c r="B20" i="7"/>
  <c r="C20" i="7"/>
  <c r="D20" i="7"/>
  <c r="E20" i="7"/>
  <c r="F20" i="7"/>
  <c r="G20" i="7"/>
  <c r="B21" i="7"/>
  <c r="C21" i="7"/>
  <c r="D21" i="7"/>
  <c r="E21" i="7"/>
  <c r="F21" i="7"/>
  <c r="G21" i="7"/>
  <c r="B22" i="7"/>
  <c r="C22" i="7"/>
  <c r="D22" i="7"/>
  <c r="E22" i="7"/>
  <c r="F22" i="7"/>
  <c r="G22" i="7"/>
  <c r="B23" i="7"/>
  <c r="C23" i="7"/>
  <c r="D23" i="7"/>
  <c r="E23" i="7"/>
  <c r="F23" i="7"/>
  <c r="G23" i="7"/>
  <c r="B24" i="7"/>
  <c r="C24" i="7"/>
  <c r="D24" i="7"/>
  <c r="E24" i="7"/>
  <c r="F24" i="7"/>
  <c r="B25" i="7"/>
  <c r="C25" i="7"/>
  <c r="D25" i="7"/>
  <c r="E25" i="7"/>
  <c r="F25" i="7"/>
  <c r="B26" i="7"/>
  <c r="C26" i="7"/>
  <c r="D26" i="7"/>
  <c r="E26" i="7"/>
  <c r="F26" i="7"/>
  <c r="G26" i="7"/>
  <c r="B27" i="7"/>
  <c r="C27" i="7"/>
  <c r="D27" i="7"/>
  <c r="E27" i="7"/>
  <c r="F27" i="7"/>
  <c r="G27" i="7"/>
  <c r="B29" i="7"/>
  <c r="C29" i="7"/>
  <c r="D29" i="7"/>
  <c r="E29" i="7"/>
  <c r="F29" i="7"/>
  <c r="G29" i="7"/>
  <c r="B30" i="7"/>
  <c r="C30" i="7"/>
  <c r="D30" i="7"/>
  <c r="E30" i="7"/>
  <c r="F30" i="7"/>
  <c r="G30" i="7"/>
  <c r="B31" i="7"/>
  <c r="C31" i="7"/>
  <c r="D31" i="7"/>
  <c r="E31" i="7"/>
  <c r="F31" i="7"/>
  <c r="G31" i="7"/>
  <c r="B32" i="7"/>
  <c r="C32" i="7"/>
  <c r="D32" i="7"/>
  <c r="E32" i="7"/>
  <c r="F32" i="7"/>
  <c r="G32" i="7"/>
  <c r="B33" i="7"/>
  <c r="C33" i="7"/>
  <c r="D33" i="7"/>
  <c r="E33" i="7"/>
  <c r="F33" i="7"/>
  <c r="G33" i="7"/>
  <c r="B34" i="7"/>
  <c r="C34" i="7"/>
  <c r="D34" i="7"/>
  <c r="E34" i="7"/>
  <c r="F34" i="7"/>
  <c r="G34" i="7"/>
  <c r="B38" i="7"/>
  <c r="C38" i="7"/>
  <c r="D38" i="7"/>
  <c r="E38" i="7"/>
  <c r="F38" i="7"/>
  <c r="G38" i="7"/>
  <c r="B39" i="7"/>
  <c r="C39" i="7"/>
  <c r="D39" i="7"/>
  <c r="E39" i="7"/>
  <c r="F39" i="7"/>
  <c r="G39" i="7"/>
  <c r="B40" i="7"/>
  <c r="C40" i="7"/>
  <c r="D40" i="7"/>
  <c r="E40" i="7"/>
  <c r="F40" i="7"/>
  <c r="G40" i="7"/>
  <c r="B41" i="7"/>
  <c r="C41" i="7"/>
  <c r="D41" i="7"/>
  <c r="E41" i="7"/>
  <c r="F41" i="7"/>
  <c r="G41" i="7"/>
  <c r="B42" i="7"/>
  <c r="C42" i="7"/>
  <c r="D42" i="7"/>
  <c r="E42" i="7"/>
  <c r="F42" i="7"/>
  <c r="G42" i="7"/>
  <c r="B43" i="7"/>
  <c r="C43" i="7"/>
  <c r="D43" i="7"/>
  <c r="E43" i="7"/>
  <c r="F43" i="7"/>
  <c r="G43" i="7"/>
  <c r="B44" i="7"/>
  <c r="C44" i="7"/>
  <c r="D44" i="7"/>
  <c r="E44" i="7"/>
  <c r="F44" i="7"/>
  <c r="G44" i="7"/>
  <c r="B45" i="7"/>
  <c r="C45" i="7"/>
  <c r="D45" i="7"/>
  <c r="E45" i="7"/>
  <c r="F45" i="7"/>
  <c r="G45" i="7"/>
  <c r="B46" i="7"/>
  <c r="C46" i="7"/>
  <c r="D46" i="7"/>
  <c r="E46" i="7"/>
  <c r="F46" i="7"/>
  <c r="G46" i="7"/>
  <c r="B47" i="7"/>
  <c r="C47" i="7"/>
  <c r="D47" i="7"/>
  <c r="E47" i="7"/>
  <c r="F47" i="7"/>
  <c r="G47" i="7"/>
  <c r="B48" i="7"/>
  <c r="C48" i="7"/>
  <c r="D48" i="7"/>
  <c r="E48" i="7"/>
  <c r="F48" i="7"/>
  <c r="G48" i="7"/>
  <c r="B49" i="7"/>
  <c r="C49" i="7"/>
  <c r="D49" i="7"/>
  <c r="E49" i="7"/>
  <c r="F49" i="7"/>
  <c r="G49" i="7"/>
  <c r="B50" i="7"/>
  <c r="C50" i="7"/>
  <c r="D50" i="7"/>
  <c r="E50" i="7"/>
  <c r="F50" i="7"/>
  <c r="G50" i="7"/>
  <c r="B51" i="7"/>
  <c r="C51" i="7"/>
  <c r="D51" i="7"/>
  <c r="E51" i="7"/>
  <c r="F51" i="7"/>
  <c r="G51" i="7"/>
  <c r="B52" i="7"/>
  <c r="C52" i="7"/>
  <c r="D52" i="7"/>
  <c r="E52" i="7"/>
  <c r="F52" i="7"/>
  <c r="G52" i="7"/>
  <c r="B53" i="7"/>
  <c r="C53" i="7"/>
  <c r="D53" i="7"/>
  <c r="E53" i="7"/>
  <c r="F53" i="7"/>
  <c r="G53" i="7"/>
  <c r="B54" i="7"/>
  <c r="C54" i="7"/>
  <c r="D54" i="7"/>
  <c r="E54" i="7"/>
  <c r="F54" i="7"/>
  <c r="G54" i="7"/>
  <c r="B55" i="7"/>
  <c r="C55" i="7"/>
  <c r="D55" i="7"/>
  <c r="E55" i="7"/>
  <c r="F55" i="7"/>
  <c r="G55" i="7"/>
  <c r="B56" i="7"/>
  <c r="C56" i="7"/>
  <c r="D56" i="7"/>
  <c r="E56" i="7"/>
  <c r="F56" i="7"/>
  <c r="G56" i="7"/>
  <c r="B57" i="7"/>
  <c r="C57" i="7"/>
  <c r="D57" i="7"/>
  <c r="E57" i="7"/>
  <c r="F57" i="7"/>
  <c r="G57" i="7"/>
  <c r="B58" i="7"/>
  <c r="C58" i="7"/>
  <c r="D58" i="7"/>
  <c r="E58" i="7"/>
  <c r="F58" i="7"/>
  <c r="G58" i="7"/>
  <c r="B59" i="7"/>
  <c r="C59" i="7"/>
  <c r="D59" i="7"/>
  <c r="E59" i="7"/>
  <c r="F59" i="7"/>
  <c r="G59" i="7"/>
  <c r="B60" i="7"/>
  <c r="C60" i="7"/>
  <c r="D60" i="7"/>
  <c r="E60" i="7"/>
  <c r="F60" i="7"/>
  <c r="G60" i="7"/>
  <c r="B61" i="7"/>
  <c r="C61" i="7"/>
  <c r="D61" i="7"/>
  <c r="E61" i="7"/>
  <c r="F61" i="7"/>
  <c r="G61" i="7"/>
  <c r="B62" i="7"/>
  <c r="C62" i="7"/>
  <c r="D62" i="7"/>
  <c r="E62" i="7"/>
  <c r="F62" i="7"/>
  <c r="G62" i="7"/>
  <c r="B63" i="7"/>
  <c r="C63" i="7"/>
  <c r="D63" i="7"/>
  <c r="E63" i="7"/>
  <c r="F63" i="7"/>
  <c r="G63" i="7"/>
  <c r="B64" i="7"/>
  <c r="C64" i="7"/>
  <c r="D64" i="7"/>
  <c r="E64" i="7"/>
  <c r="F64" i="7"/>
  <c r="G64" i="7"/>
  <c r="B65" i="7"/>
  <c r="C65" i="7"/>
  <c r="D65" i="7"/>
  <c r="E65" i="7"/>
  <c r="F65" i="7"/>
  <c r="G65" i="7"/>
  <c r="B66" i="7"/>
  <c r="C66" i="7"/>
  <c r="D66" i="7"/>
  <c r="E66" i="7"/>
  <c r="F66" i="7"/>
  <c r="G66" i="7"/>
  <c r="B67" i="7"/>
  <c r="C67" i="7"/>
  <c r="D67" i="7"/>
  <c r="E67" i="7"/>
  <c r="F67" i="7"/>
  <c r="G67" i="7"/>
  <c r="B68" i="7"/>
  <c r="C68" i="7"/>
  <c r="D68" i="7"/>
  <c r="E68" i="7"/>
  <c r="F68" i="7"/>
  <c r="G68" i="7"/>
  <c r="B69" i="7"/>
  <c r="C69" i="7"/>
  <c r="D69" i="7"/>
  <c r="E69" i="7"/>
  <c r="F69" i="7"/>
  <c r="G69" i="7"/>
  <c r="B71" i="7"/>
  <c r="C71" i="7"/>
  <c r="D71" i="7"/>
  <c r="E71" i="7"/>
  <c r="F71" i="7"/>
  <c r="G71" i="7"/>
  <c r="B72" i="7"/>
  <c r="C72" i="7"/>
  <c r="D72" i="7"/>
  <c r="E72" i="7"/>
  <c r="F72" i="7"/>
  <c r="G72" i="7"/>
  <c r="B73" i="7"/>
  <c r="C73" i="7"/>
  <c r="D73" i="7"/>
  <c r="E73" i="7"/>
  <c r="F73" i="7"/>
  <c r="G73" i="7"/>
  <c r="B74" i="7"/>
  <c r="C74" i="7"/>
  <c r="D74" i="7"/>
  <c r="E74" i="7"/>
  <c r="F74" i="7"/>
  <c r="G74" i="7"/>
  <c r="B75" i="7"/>
  <c r="C75" i="7"/>
  <c r="D75" i="7"/>
  <c r="E75" i="7"/>
  <c r="F75" i="7"/>
  <c r="G75" i="7"/>
  <c r="B76" i="7"/>
  <c r="C76" i="7"/>
  <c r="D76" i="7"/>
  <c r="E76" i="7"/>
  <c r="F76" i="7"/>
  <c r="G76" i="7"/>
  <c r="B77" i="7"/>
  <c r="C77" i="7"/>
  <c r="D77" i="7"/>
  <c r="E77" i="7"/>
  <c r="F77" i="7"/>
  <c r="G77" i="7"/>
  <c r="B78" i="7"/>
  <c r="C78" i="7"/>
  <c r="D78" i="7"/>
  <c r="E78" i="7"/>
  <c r="F78" i="7"/>
  <c r="G78" i="7"/>
  <c r="B79" i="7"/>
  <c r="C79" i="7"/>
  <c r="D79" i="7"/>
  <c r="E79" i="7"/>
  <c r="F79" i="7"/>
  <c r="G79" i="7"/>
  <c r="B80" i="7"/>
  <c r="C80" i="7"/>
  <c r="D80" i="7"/>
  <c r="E80" i="7"/>
  <c r="F80" i="7"/>
  <c r="G80" i="7"/>
  <c r="B81" i="7"/>
  <c r="C81" i="7"/>
  <c r="D81" i="7"/>
  <c r="E81" i="7"/>
  <c r="F81" i="7"/>
  <c r="G81" i="7"/>
  <c r="B82" i="7"/>
  <c r="C82" i="7"/>
  <c r="D82" i="7"/>
  <c r="E82" i="7"/>
  <c r="F82" i="7"/>
  <c r="G82" i="7"/>
  <c r="B83" i="7"/>
  <c r="C83" i="7"/>
  <c r="D83" i="7"/>
  <c r="E83" i="7"/>
  <c r="F83" i="7"/>
  <c r="G83" i="7"/>
  <c r="B84" i="7"/>
  <c r="C84" i="7"/>
  <c r="D84" i="7"/>
  <c r="E84" i="7"/>
  <c r="F84" i="7"/>
  <c r="G84" i="7"/>
  <c r="B85" i="7"/>
  <c r="C85" i="7"/>
  <c r="D85" i="7"/>
  <c r="E85" i="7"/>
  <c r="F85" i="7"/>
  <c r="G85" i="7"/>
  <c r="B86" i="7"/>
  <c r="C86" i="7"/>
  <c r="D86" i="7"/>
  <c r="E86" i="7"/>
  <c r="F86" i="7"/>
  <c r="G86" i="7"/>
  <c r="B87" i="7"/>
  <c r="C87" i="7"/>
  <c r="D87" i="7"/>
  <c r="E87" i="7"/>
  <c r="F87" i="7"/>
  <c r="G87" i="7"/>
  <c r="B88" i="7"/>
  <c r="C88" i="7"/>
  <c r="D88" i="7"/>
  <c r="E88" i="7"/>
  <c r="F88" i="7"/>
  <c r="G88" i="7"/>
  <c r="B89" i="7"/>
  <c r="C89" i="7"/>
  <c r="D89" i="7"/>
  <c r="E89" i="7"/>
  <c r="F89" i="7"/>
  <c r="G89" i="7"/>
  <c r="B90" i="7"/>
  <c r="C90" i="7"/>
  <c r="D90" i="7"/>
  <c r="E90" i="7"/>
  <c r="F90" i="7"/>
  <c r="G90" i="7"/>
  <c r="B91" i="7"/>
  <c r="C91" i="7"/>
  <c r="D91" i="7"/>
  <c r="E91" i="7"/>
  <c r="F91" i="7"/>
  <c r="G91" i="7"/>
  <c r="B92" i="7"/>
  <c r="C92" i="7"/>
  <c r="D92" i="7"/>
  <c r="E92" i="7"/>
  <c r="F92" i="7"/>
  <c r="G92" i="7"/>
  <c r="B93" i="7"/>
  <c r="C93" i="7"/>
  <c r="D93" i="7"/>
  <c r="E93" i="7"/>
  <c r="F93" i="7"/>
  <c r="G93" i="7"/>
  <c r="B94" i="7"/>
  <c r="C94" i="7"/>
  <c r="D94" i="7"/>
  <c r="E94" i="7"/>
  <c r="F94" i="7"/>
  <c r="G94" i="7"/>
  <c r="B95" i="7"/>
  <c r="C95" i="7"/>
  <c r="D95" i="7"/>
  <c r="E95" i="7"/>
  <c r="F95" i="7"/>
  <c r="G95" i="7"/>
  <c r="B96" i="7"/>
  <c r="C96" i="7"/>
  <c r="D96" i="7"/>
  <c r="E96" i="7"/>
  <c r="F96" i="7"/>
  <c r="G96" i="7"/>
  <c r="B97" i="7"/>
  <c r="C97" i="7"/>
  <c r="D97" i="7"/>
  <c r="E97" i="7"/>
  <c r="F97" i="7"/>
  <c r="G97" i="7"/>
  <c r="B98" i="7"/>
  <c r="C98" i="7"/>
  <c r="D98" i="7"/>
  <c r="E98" i="7"/>
  <c r="F98" i="7"/>
  <c r="G98" i="7"/>
  <c r="B99" i="7"/>
  <c r="C99" i="7"/>
  <c r="D99" i="7"/>
  <c r="E99" i="7"/>
  <c r="F99" i="7"/>
  <c r="G99" i="7"/>
  <c r="B100" i="7"/>
  <c r="C100" i="7"/>
  <c r="D100" i="7"/>
  <c r="E100" i="7"/>
  <c r="F100" i="7"/>
  <c r="G100" i="7"/>
  <c r="B101" i="7"/>
  <c r="C101" i="7"/>
  <c r="D101" i="7"/>
  <c r="E101" i="7"/>
  <c r="F101" i="7"/>
  <c r="G101" i="7"/>
  <c r="B102" i="7"/>
  <c r="C102" i="7"/>
  <c r="D102" i="7"/>
  <c r="E102" i="7"/>
  <c r="F102" i="7"/>
  <c r="G102" i="7"/>
  <c r="B103" i="7"/>
  <c r="C103" i="7"/>
  <c r="D103" i="7"/>
  <c r="E103" i="7"/>
  <c r="F103" i="7"/>
  <c r="G103" i="7"/>
  <c r="B104" i="7"/>
  <c r="C104" i="7"/>
  <c r="D104" i="7"/>
  <c r="E104" i="7"/>
  <c r="F104" i="7"/>
  <c r="G104" i="7"/>
  <c r="B105" i="7"/>
  <c r="C105" i="7"/>
  <c r="D105" i="7"/>
  <c r="E105" i="7"/>
  <c r="F105" i="7"/>
  <c r="G105" i="7"/>
  <c r="B106" i="7"/>
  <c r="C106" i="7"/>
  <c r="D106" i="7"/>
  <c r="E106" i="7"/>
  <c r="F106" i="7"/>
  <c r="G106" i="7"/>
  <c r="B107" i="7"/>
  <c r="C107" i="7"/>
  <c r="D107" i="7"/>
  <c r="E107" i="7"/>
  <c r="F107" i="7"/>
  <c r="G107" i="7"/>
  <c r="B108" i="7"/>
  <c r="C108" i="7"/>
  <c r="D108" i="7"/>
  <c r="E108" i="7"/>
  <c r="F108" i="7"/>
  <c r="G108" i="7"/>
  <c r="B112" i="7"/>
  <c r="B114" i="7" s="1"/>
  <c r="C112" i="7"/>
  <c r="D112" i="7"/>
  <c r="E112" i="7"/>
  <c r="F112" i="7"/>
  <c r="G112" i="7"/>
  <c r="B113" i="7"/>
  <c r="C113" i="7"/>
  <c r="C114" i="7" s="1"/>
  <c r="C115" i="7" s="1"/>
  <c r="D113" i="7"/>
  <c r="E113" i="7"/>
  <c r="F113" i="7"/>
  <c r="G113" i="7"/>
  <c r="G28" i="7" l="1"/>
  <c r="E114" i="7"/>
  <c r="E115" i="7" s="1"/>
  <c r="F8" i="7"/>
  <c r="E28" i="7"/>
  <c r="F28" i="7"/>
  <c r="B60" i="10"/>
  <c r="G15" i="13"/>
  <c r="B19" i="10"/>
  <c r="C19" i="3"/>
  <c r="D84" i="3"/>
  <c r="D90" i="3" s="1"/>
  <c r="F64" i="8"/>
  <c r="F70" i="8" s="1"/>
  <c r="M18" i="8"/>
  <c r="B69" i="8"/>
  <c r="M69" i="8" s="1"/>
  <c r="M68" i="8"/>
  <c r="H21" i="8"/>
  <c r="H22" i="8" s="1"/>
  <c r="H64" i="8" s="1"/>
  <c r="H70" i="8" s="1"/>
  <c r="B63" i="8"/>
  <c r="M63" i="8" s="1"/>
  <c r="M43" i="8"/>
  <c r="D63" i="8"/>
  <c r="L63" i="8"/>
  <c r="L64" i="8" s="1"/>
  <c r="L70" i="8" s="1"/>
  <c r="K70" i="8"/>
  <c r="J70" i="8"/>
  <c r="D21" i="8"/>
  <c r="D22" i="8" s="1"/>
  <c r="D64" i="8" s="1"/>
  <c r="D70" i="8" s="1"/>
  <c r="C70" i="8"/>
  <c r="I21" i="8"/>
  <c r="I22" i="8" s="1"/>
  <c r="I64" i="8" s="1"/>
  <c r="I70" i="8" s="1"/>
  <c r="M7" i="8"/>
  <c r="B21" i="8"/>
  <c r="M66" i="8"/>
  <c r="M41" i="8"/>
  <c r="D114" i="7"/>
  <c r="D115" i="7" s="1"/>
  <c r="F114" i="7"/>
  <c r="F115" i="7" s="1"/>
  <c r="B28" i="7"/>
  <c r="B35" i="7" s="1"/>
  <c r="G70" i="7"/>
  <c r="G109" i="7" s="1"/>
  <c r="F70" i="7"/>
  <c r="F109" i="7" s="1"/>
  <c r="E70" i="7"/>
  <c r="E109" i="7" s="1"/>
  <c r="C70" i="7"/>
  <c r="C109" i="7" s="1"/>
  <c r="D70" i="7"/>
  <c r="D109" i="7" s="1"/>
  <c r="D28" i="7"/>
  <c r="D35" i="7" s="1"/>
  <c r="D36" i="7" s="1"/>
  <c r="F35" i="7"/>
  <c r="F36" i="7" s="1"/>
  <c r="G35" i="7"/>
  <c r="G36" i="7" s="1"/>
  <c r="G114" i="7"/>
  <c r="G115" i="7" s="1"/>
  <c r="C28" i="7"/>
  <c r="C35" i="7" s="1"/>
  <c r="C36" i="7" s="1"/>
  <c r="E35" i="7"/>
  <c r="E36" i="7" s="1"/>
  <c r="B115" i="7"/>
  <c r="B70" i="7"/>
  <c r="C110" i="7" l="1"/>
  <c r="C116" i="7" s="1"/>
  <c r="F110" i="7"/>
  <c r="F116" i="7" s="1"/>
  <c r="D110" i="7"/>
  <c r="D116" i="7" s="1"/>
  <c r="B61" i="10"/>
  <c r="B67" i="10" s="1"/>
  <c r="G110" i="7"/>
  <c r="G116" i="7" s="1"/>
  <c r="M21" i="8"/>
  <c r="B22" i="8"/>
  <c r="E110" i="7"/>
  <c r="E116" i="7" s="1"/>
  <c r="B109" i="7"/>
  <c r="B36" i="7"/>
  <c r="B64" i="8" l="1"/>
  <c r="M22" i="8"/>
  <c r="B110" i="7"/>
  <c r="M64" i="8" l="1"/>
  <c r="B70" i="8"/>
  <c r="M70" i="8" s="1"/>
  <c r="B116" i="7"/>
  <c r="B21" i="3" l="1"/>
  <c r="C21" i="3" s="1"/>
  <c r="B49" i="3" l="1"/>
  <c r="B13" i="3"/>
  <c r="F88" i="3"/>
  <c r="F89" i="3" s="1"/>
  <c r="C49" i="3"/>
  <c r="C83" i="3" s="1"/>
  <c r="B88" i="3" l="1"/>
  <c r="B19" i="3"/>
  <c r="B83" i="3"/>
  <c r="B84" i="3" l="1"/>
  <c r="B90" i="3" s="1"/>
  <c r="C40" i="2" l="1"/>
  <c r="F49" i="3"/>
  <c r="F83" i="3" s="1"/>
  <c r="C88" i="3"/>
  <c r="C89" i="3" s="1"/>
  <c r="J4" i="1"/>
  <c r="E5" i="1"/>
  <c r="L5" i="1"/>
  <c r="E10" i="1"/>
  <c r="F10" i="1"/>
  <c r="F19" i="1" s="1"/>
  <c r="F82" i="1" s="1"/>
  <c r="F88" i="1" s="1"/>
  <c r="F11" i="1"/>
  <c r="G11" i="1"/>
  <c r="G19" i="1" s="1"/>
  <c r="I11" i="1"/>
  <c r="J12" i="1"/>
  <c r="J19" i="1" s="1"/>
  <c r="L13" i="1"/>
  <c r="D14" i="1"/>
  <c r="D19" i="1" s="1"/>
  <c r="D82" i="1" s="1"/>
  <c r="D88" i="1" s="1"/>
  <c r="F14" i="1"/>
  <c r="I14" i="1"/>
  <c r="I19" i="1" s="1"/>
  <c r="I82" i="1" s="1"/>
  <c r="I88" i="1" s="1"/>
  <c r="L14" i="1"/>
  <c r="B19" i="1"/>
  <c r="B82" i="1" s="1"/>
  <c r="B88" i="1" s="1"/>
  <c r="C19" i="1"/>
  <c r="C82" i="1" s="1"/>
  <c r="C88" i="1" s="1"/>
  <c r="E19" i="1"/>
  <c r="H19" i="1"/>
  <c r="K19" i="1"/>
  <c r="L19" i="1"/>
  <c r="M19" i="1"/>
  <c r="F22" i="1"/>
  <c r="F81" i="1" s="1"/>
  <c r="K23" i="1"/>
  <c r="G24" i="1"/>
  <c r="I24" i="1"/>
  <c r="I81" i="1" s="1"/>
  <c r="J27" i="1"/>
  <c r="J81" i="1" s="1"/>
  <c r="F30" i="1"/>
  <c r="H30" i="1"/>
  <c r="I30" i="1"/>
  <c r="L30" i="1"/>
  <c r="I33" i="1"/>
  <c r="L33" i="1"/>
  <c r="G34" i="1"/>
  <c r="I34" i="1"/>
  <c r="E36" i="1"/>
  <c r="L38" i="1"/>
  <c r="L81" i="1" s="1"/>
  <c r="J41" i="1"/>
  <c r="I42" i="1"/>
  <c r="I48" i="1" s="1"/>
  <c r="K42" i="1"/>
  <c r="L43" i="1"/>
  <c r="L48" i="1" s="1"/>
  <c r="G44" i="1"/>
  <c r="G48" i="1" s="1"/>
  <c r="K45" i="1"/>
  <c r="K48" i="1" s="1"/>
  <c r="K81" i="1" s="1"/>
  <c r="K82" i="1" s="1"/>
  <c r="K88" i="1" s="1"/>
  <c r="B48" i="1"/>
  <c r="B81" i="1" s="1"/>
  <c r="C48" i="1"/>
  <c r="D48" i="1"/>
  <c r="E48" i="1"/>
  <c r="F48" i="1"/>
  <c r="H48" i="1"/>
  <c r="H81" i="1" s="1"/>
  <c r="H82" i="1" s="1"/>
  <c r="H88" i="1" s="1"/>
  <c r="J48" i="1"/>
  <c r="M48" i="1"/>
  <c r="M81" i="1" s="1"/>
  <c r="M82" i="1" s="1"/>
  <c r="M88" i="1" s="1"/>
  <c r="D50" i="1"/>
  <c r="H50" i="1"/>
  <c r="F60" i="1"/>
  <c r="D68" i="1"/>
  <c r="C69" i="1"/>
  <c r="C81" i="1" s="1"/>
  <c r="D69" i="1"/>
  <c r="F69" i="1"/>
  <c r="H69" i="1"/>
  <c r="I69" i="1"/>
  <c r="J69" i="1"/>
  <c r="E72" i="1"/>
  <c r="F72" i="1"/>
  <c r="I72" i="1"/>
  <c r="J72" i="1"/>
  <c r="L72" i="1"/>
  <c r="L73" i="1"/>
  <c r="E75" i="1"/>
  <c r="F75" i="1"/>
  <c r="I75" i="1"/>
  <c r="K75" i="1"/>
  <c r="L75" i="1"/>
  <c r="H76" i="1"/>
  <c r="D77" i="1"/>
  <c r="E77" i="1"/>
  <c r="F77" i="1"/>
  <c r="H77" i="1"/>
  <c r="I77" i="1"/>
  <c r="J77" i="1"/>
  <c r="K77" i="1"/>
  <c r="L77" i="1"/>
  <c r="K78" i="1"/>
  <c r="G79" i="1"/>
  <c r="I79" i="1"/>
  <c r="D81" i="1"/>
  <c r="E81" i="1"/>
  <c r="E82" i="1" s="1"/>
  <c r="B84" i="1"/>
  <c r="C84" i="1"/>
  <c r="D84" i="1"/>
  <c r="E84" i="1"/>
  <c r="F84" i="1"/>
  <c r="G84" i="1"/>
  <c r="B85" i="1"/>
  <c r="B86" i="1"/>
  <c r="B87" i="1" s="1"/>
  <c r="N87" i="1" s="1"/>
  <c r="C86" i="1"/>
  <c r="C87" i="1" s="1"/>
  <c r="D86" i="1"/>
  <c r="D87" i="1" s="1"/>
  <c r="E86" i="1"/>
  <c r="E87" i="1" s="1"/>
  <c r="F86" i="1"/>
  <c r="F87" i="1" s="1"/>
  <c r="G86" i="1"/>
  <c r="H86" i="1"/>
  <c r="I86" i="1"/>
  <c r="J86" i="1"/>
  <c r="K86" i="1"/>
  <c r="K87" i="1" s="1"/>
  <c r="L86" i="1"/>
  <c r="L87" i="1" s="1"/>
  <c r="M86" i="1"/>
  <c r="G87" i="1"/>
  <c r="H87" i="1"/>
  <c r="I87" i="1"/>
  <c r="J87" i="1"/>
  <c r="M87" i="1"/>
  <c r="N48" i="1"/>
  <c r="F84" i="3" l="1"/>
  <c r="F90" i="3" s="1"/>
  <c r="C84" i="3"/>
  <c r="C90" i="3" s="1"/>
  <c r="J82" i="1"/>
  <c r="J88" i="1" s="1"/>
  <c r="G81" i="1"/>
  <c r="G82" i="1" s="1"/>
  <c r="G88" i="1" s="1"/>
  <c r="E88" i="1"/>
  <c r="L82" i="1"/>
  <c r="L88" i="1" s="1"/>
  <c r="O86" i="1" l="1"/>
  <c r="O87" i="1" s="1"/>
  <c r="O48" i="1"/>
  <c r="O81" i="1" s="1"/>
  <c r="O19" i="1"/>
  <c r="N84" i="1" l="1"/>
  <c r="O82" i="1"/>
  <c r="O88" i="1" s="1"/>
  <c r="N85" i="1"/>
  <c r="N19" i="1"/>
  <c r="N86" i="1" l="1"/>
  <c r="N81" i="1"/>
  <c r="N82" i="1" s="1"/>
  <c r="N8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blair hamilton</author>
    <author>Hiersche, Kristina M</author>
    <author>Tamara Ward</author>
  </authors>
  <commentList>
    <comment ref="B6" authorId="0" shapeId="0" xr:uid="{81195AD9-50CE-4787-BC8D-9004BAED1255}">
      <text>
        <r>
          <rPr>
            <b/>
            <sz val="9"/>
            <color indexed="81"/>
            <rFont val="Tahoma"/>
            <family val="2"/>
          </rPr>
          <t>blair hamilton:</t>
        </r>
        <r>
          <rPr>
            <sz val="9"/>
            <color indexed="81"/>
            <rFont val="Tahoma"/>
            <family val="2"/>
          </rPr>
          <t xml:space="preserve">
went ahead and added the $700 bottledrop ck I requested last week - this amnt wont show up in quickbooks yet. </t>
        </r>
      </text>
    </comment>
    <comment ref="A37" authorId="1" shapeId="0" xr:uid="{E64AEEE8-9423-432F-BB8E-1C11E7FC9825}">
      <text>
        <r>
          <rPr>
            <b/>
            <sz val="9"/>
            <color indexed="81"/>
            <rFont val="Tahoma"/>
            <family val="2"/>
          </rPr>
          <t>Hiersche, Kristina M:</t>
        </r>
        <r>
          <rPr>
            <sz val="9"/>
            <color indexed="81"/>
            <rFont val="Tahoma"/>
            <family val="2"/>
          </rPr>
          <t xml:space="preserve">
 (Quickbooks Jun, Web Hosting May, Domain Name)</t>
        </r>
      </text>
    </comment>
    <comment ref="A63" authorId="2" shapeId="0" xr:uid="{9692786C-C1AA-411C-B75A-F7B93CDCAB36}">
      <text>
        <r>
          <rPr>
            <b/>
            <sz val="9"/>
            <color indexed="81"/>
            <rFont val="Tahoma"/>
            <family val="2"/>
          </rPr>
          <t>Tamara Ward:</t>
        </r>
        <r>
          <rPr>
            <sz val="9"/>
            <color indexed="81"/>
            <rFont val="Tahoma"/>
            <family val="2"/>
          </rPr>
          <t xml:space="preserve">
20/21: Library
21/22: PE
22/23: Music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blair hamilton</author>
    <author>Hiersche, Kristina M</author>
    <author>tc={E171DD3B-09BE-4428-93E5-5366A2E29C03}</author>
    <author>Tamara Ward</author>
  </authors>
  <commentList>
    <comment ref="E5" authorId="0" shapeId="0" xr:uid="{B2C6567C-042A-4209-BC7F-14155918B280}">
      <text>
        <r>
          <rPr>
            <b/>
            <sz val="9"/>
            <color indexed="81"/>
            <rFont val="Tahoma"/>
            <family val="2"/>
          </rPr>
          <t>blair hamilton:</t>
        </r>
        <r>
          <rPr>
            <sz val="9"/>
            <color indexed="81"/>
            <rFont val="Tahoma"/>
            <family val="2"/>
          </rPr>
          <t xml:space="preserve">
first amount is the value of the paper cash, second is the value of the coins</t>
        </r>
      </text>
    </comment>
    <comment ref="E11" authorId="0" shapeId="0" xr:uid="{B54D36AA-C4A5-45EC-9D17-4F322AA8D06B}">
      <text>
        <r>
          <rPr>
            <b/>
            <sz val="9"/>
            <color indexed="81"/>
            <rFont val="Tahoma"/>
            <family val="2"/>
          </rPr>
          <t>blair hamilton:</t>
        </r>
        <r>
          <rPr>
            <sz val="9"/>
            <color indexed="81"/>
            <rFont val="Tahoma"/>
            <family val="2"/>
          </rPr>
          <t xml:space="preserve">
$20 from a parent handed to me at meet the teacher night</t>
        </r>
      </text>
    </comment>
    <comment ref="A36" authorId="1" shapeId="0" xr:uid="{0DEF9A6D-84EE-416A-958B-E9672DCAB437}">
      <text>
        <r>
          <rPr>
            <b/>
            <sz val="9"/>
            <color indexed="81"/>
            <rFont val="Tahoma"/>
            <family val="2"/>
          </rPr>
          <t>Hiersche, Kristina M:</t>
        </r>
        <r>
          <rPr>
            <sz val="9"/>
            <color indexed="81"/>
            <rFont val="Tahoma"/>
            <family val="2"/>
          </rPr>
          <t xml:space="preserve">
 (Quickbooks Jun, Web Hosting May, Domain Name)</t>
        </r>
      </text>
    </comment>
    <comment ref="D42" authorId="2" shapeId="0" xr:uid="{E171DD3B-09BE-4428-93E5-5366A2E29C03}">
      <text>
        <t>[Threaded comment]
Your version of Excel allows you to read this threaded comment; however, any edits to it will get removed if the file is opened in a newer version of Excel. Learn more: https://go.microsoft.com/fwlink/?linkid=870924
Comment:
    Bus from last years trip</t>
      </text>
    </comment>
    <comment ref="D44" authorId="0" shapeId="0" xr:uid="{35E1E538-0405-4A7E-87A5-F06D1D8F544A}">
      <text>
        <r>
          <rPr>
            <b/>
            <sz val="9"/>
            <color indexed="81"/>
            <rFont val="Tahoma"/>
            <family val="2"/>
          </rPr>
          <t>blair hamilton:</t>
        </r>
        <r>
          <rPr>
            <sz val="9"/>
            <color indexed="81"/>
            <rFont val="Tahoma"/>
            <family val="2"/>
          </rPr>
          <t xml:space="preserve">
from 4th grade trip to hoyt last school year</t>
        </r>
      </text>
    </comment>
    <comment ref="A62" authorId="3" shapeId="0" xr:uid="{AF2DE012-D68B-49E0-828E-E5058C141D1A}">
      <text>
        <r>
          <rPr>
            <b/>
            <sz val="9"/>
            <color indexed="81"/>
            <rFont val="Tahoma"/>
            <family val="2"/>
          </rPr>
          <t>Tamara Ward:</t>
        </r>
        <r>
          <rPr>
            <sz val="9"/>
            <color indexed="81"/>
            <rFont val="Tahoma"/>
            <family val="2"/>
          </rPr>
          <t xml:space="preserve">
20/21: Library
21/22: PE
22/23: Music
</t>
        </r>
      </text>
    </comment>
    <comment ref="D67" authorId="0" shapeId="0" xr:uid="{09D58032-E293-4460-86E9-FAFA7868269B}">
      <text>
        <r>
          <rPr>
            <b/>
            <sz val="9"/>
            <color indexed="81"/>
            <rFont val="Tahoma"/>
            <family val="2"/>
          </rPr>
          <t>blair hamilton:</t>
        </r>
        <r>
          <rPr>
            <sz val="9"/>
            <color indexed="81"/>
            <rFont val="Tahoma"/>
            <family val="2"/>
          </rPr>
          <t xml:space="preserve">
from Mrs. West</t>
        </r>
      </text>
    </comment>
    <comment ref="D68" authorId="0" shapeId="0" xr:uid="{97DF42C8-8DF3-4C17-BEFD-4C619F8A6076}">
      <text>
        <r>
          <rPr>
            <b/>
            <sz val="9"/>
            <color indexed="81"/>
            <rFont val="Tahoma"/>
            <family val="2"/>
          </rPr>
          <t>blair hamilton:</t>
        </r>
        <r>
          <rPr>
            <sz val="9"/>
            <color indexed="81"/>
            <rFont val="Tahoma"/>
            <family val="2"/>
          </rPr>
          <t xml:space="preserve">
from Serrao
</t>
        </r>
      </text>
    </comment>
    <comment ref="K78" authorId="0" shapeId="0" xr:uid="{79AB63DA-3A63-45FC-8BC7-F1F3F8906004}">
      <text>
        <r>
          <rPr>
            <b/>
            <sz val="9"/>
            <color indexed="81"/>
            <rFont val="Tahoma"/>
            <charset val="1"/>
          </rPr>
          <t>blair hamilton:</t>
        </r>
        <r>
          <rPr>
            <sz val="9"/>
            <color indexed="81"/>
            <rFont val="Tahoma"/>
            <charset val="1"/>
          </rPr>
          <t xml:space="preserve">
flow through - gift cards for walking school bus - will be reimbursed through grant by Erin, but prob not till next year</t>
        </r>
      </text>
    </comment>
  </commentList>
</comments>
</file>

<file path=xl/sharedStrings.xml><?xml version="1.0" encoding="utf-8"?>
<sst xmlns="http://schemas.openxmlformats.org/spreadsheetml/2006/main" count="689" uniqueCount="340">
  <si>
    <t>Jul</t>
  </si>
  <si>
    <t>Aug</t>
  </si>
  <si>
    <t>Sept</t>
  </si>
  <si>
    <t>Oct</t>
  </si>
  <si>
    <t>Nov</t>
  </si>
  <si>
    <t>Dec</t>
  </si>
  <si>
    <t>Jan</t>
  </si>
  <si>
    <t>Feb</t>
  </si>
  <si>
    <t>Mar</t>
  </si>
  <si>
    <t>Apr</t>
  </si>
  <si>
    <t>May</t>
  </si>
  <si>
    <t>YTD</t>
  </si>
  <si>
    <t>Budget</t>
  </si>
  <si>
    <t>Income</t>
  </si>
  <si>
    <t>5th Grade Send Off (flow-thru)</t>
  </si>
  <si>
    <t>Book Fair Cash Sales (Flow-thru)</t>
  </si>
  <si>
    <t>Bottle Drop</t>
  </si>
  <si>
    <t>Box Tops</t>
  </si>
  <si>
    <t>Boy Scouts (flow thru - donations earmarked for Scouts)</t>
  </si>
  <si>
    <t>Community Fundraiser</t>
  </si>
  <si>
    <t>Fun Run</t>
  </si>
  <si>
    <t>Member/Misc (Donation; incl. corp. match funds)</t>
  </si>
  <si>
    <t>Music &amp; School Concert Donations</t>
  </si>
  <si>
    <t>Restaurant Night</t>
  </si>
  <si>
    <t>Rewards Programs (Amazon Smile, Fred Meyer)</t>
  </si>
  <si>
    <t>School Supplies Donations</t>
  </si>
  <si>
    <t>Science Expo</t>
  </si>
  <si>
    <t>Staff Appreciation donations</t>
  </si>
  <si>
    <t>Total Income</t>
  </si>
  <si>
    <t>Expenses</t>
  </si>
  <si>
    <t>5th Grade Send Off (Expenses)</t>
  </si>
  <si>
    <t>Art Literacy</t>
  </si>
  <si>
    <t>Assemblies</t>
  </si>
  <si>
    <t>Battle of the Books</t>
  </si>
  <si>
    <t>Boohoo Woohoo (welcome new families)</t>
  </si>
  <si>
    <t>Book Room</t>
  </si>
  <si>
    <t>Brain Pop (Peterson)</t>
  </si>
  <si>
    <t>Chess Club</t>
  </si>
  <si>
    <t>Class Parties</t>
  </si>
  <si>
    <t>Clothes Closet Donation</t>
  </si>
  <si>
    <t>Community Fundraiser (Flow through)</t>
  </si>
  <si>
    <t>Concerts / Music Room Supplies</t>
  </si>
  <si>
    <t>Family Events - Donut w/GrownUp/Dance</t>
  </si>
  <si>
    <t>Dry Cleaining (Furry Grover)</t>
  </si>
  <si>
    <t>Dues &amp; Subscriptions</t>
  </si>
  <si>
    <t>Emergency Buckets</t>
  </si>
  <si>
    <t>Field Day (Villegas)</t>
  </si>
  <si>
    <t>Field Trips</t>
  </si>
  <si>
    <t>Kindy</t>
  </si>
  <si>
    <t>1st Grade</t>
  </si>
  <si>
    <t>2nd Grade</t>
  </si>
  <si>
    <t>3rd Grade</t>
  </si>
  <si>
    <t>4th Grade</t>
  </si>
  <si>
    <t>5th Grade</t>
  </si>
  <si>
    <t>College Visit/Career Readiness (5th grade)</t>
  </si>
  <si>
    <t>Philharmonic Children's Concert (3rd-5th, every 3rd year)</t>
  </si>
  <si>
    <t>Total Field Trips</t>
  </si>
  <si>
    <t>Fun Run - Pledgestar fees</t>
  </si>
  <si>
    <t>Fun Run supplies, prizes, and T-shirts</t>
  </si>
  <si>
    <t>Garden Area (Kindy)</t>
  </si>
  <si>
    <t>Geography Club</t>
  </si>
  <si>
    <t>Insurance</t>
  </si>
  <si>
    <t>Meet Your Teacher</t>
  </si>
  <si>
    <t>Mystery Science</t>
  </si>
  <si>
    <t>Oregon Trail (4th Grade)</t>
  </si>
  <si>
    <t>Pack Leaders</t>
  </si>
  <si>
    <t>Planners</t>
  </si>
  <si>
    <t>PTO Meetings</t>
  </si>
  <si>
    <t>PTO Supplies</t>
  </si>
  <si>
    <t>Reading Online Program (RAZ)</t>
  </si>
  <si>
    <t>Restaurant Nights (PE)</t>
  </si>
  <si>
    <t>Restaurant Nights (Music)</t>
  </si>
  <si>
    <t>Restaurant Nights (Tech)</t>
  </si>
  <si>
    <t>Restaurant Nights (Library) (carryover from 2020-2021 year)</t>
  </si>
  <si>
    <t>Scholastic (Kindy)</t>
  </si>
  <si>
    <t>Scholastic (3rd Grade)</t>
  </si>
  <si>
    <t>Scholastic (5th Grade)</t>
  </si>
  <si>
    <t>School Supplies</t>
  </si>
  <si>
    <t>Scouts (flow thru of earmarked donations rec'd)</t>
  </si>
  <si>
    <t xml:space="preserve">Science Expo </t>
  </si>
  <si>
    <t>Staff Appreciation/Conference</t>
  </si>
  <si>
    <t>Staff Meals (Principal budget)</t>
  </si>
  <si>
    <t>Summer Reading Party</t>
  </si>
  <si>
    <t>Sunshine Fund</t>
  </si>
  <si>
    <t>Taxes &amp; Licenses</t>
  </si>
  <si>
    <t>Teacher Supplies</t>
  </si>
  <si>
    <t>Unbudgeted Expense</t>
  </si>
  <si>
    <t>.</t>
  </si>
  <si>
    <t>Wellness (SEL) Center</t>
  </si>
  <si>
    <t>Total Expenses</t>
  </si>
  <si>
    <t>Net Operating Income</t>
  </si>
  <si>
    <t>Other Income</t>
  </si>
  <si>
    <t xml:space="preserve">   Bank Dividends</t>
  </si>
  <si>
    <t xml:space="preserve">   CD Dividends</t>
  </si>
  <si>
    <t>Total Other Income</t>
  </si>
  <si>
    <t>Net Other Income</t>
  </si>
  <si>
    <t>Net Income</t>
  </si>
  <si>
    <t>Book Fair Profit Spending</t>
  </si>
  <si>
    <t>Community/Other Fundraiser</t>
  </si>
  <si>
    <t>1st</t>
  </si>
  <si>
    <t>Trinci</t>
  </si>
  <si>
    <t>Ford</t>
  </si>
  <si>
    <t>Barto</t>
  </si>
  <si>
    <t>2nd</t>
  </si>
  <si>
    <t>Melvin</t>
  </si>
  <si>
    <t>Beltran</t>
  </si>
  <si>
    <t>Viegas</t>
  </si>
  <si>
    <t>3rd</t>
  </si>
  <si>
    <t>West</t>
  </si>
  <si>
    <t>Oakes</t>
  </si>
  <si>
    <t>4th</t>
  </si>
  <si>
    <t>Peterson</t>
  </si>
  <si>
    <t>Calafet</t>
  </si>
  <si>
    <t>Winterfeld</t>
  </si>
  <si>
    <t>5th</t>
  </si>
  <si>
    <t>Lee</t>
  </si>
  <si>
    <t>Serrao</t>
  </si>
  <si>
    <t>Coach/Intvtn</t>
  </si>
  <si>
    <t>Hausman</t>
  </si>
  <si>
    <t>Pearson</t>
  </si>
  <si>
    <t>King</t>
  </si>
  <si>
    <t>Counselor</t>
  </si>
  <si>
    <t>Caryl</t>
  </si>
  <si>
    <t>ESL</t>
  </si>
  <si>
    <t>Abel</t>
  </si>
  <si>
    <t>Debusk</t>
  </si>
  <si>
    <t>K</t>
  </si>
  <si>
    <t>Harwood</t>
  </si>
  <si>
    <t>Leijon</t>
  </si>
  <si>
    <t>Learning Spec</t>
  </si>
  <si>
    <t>Choo</t>
  </si>
  <si>
    <t>Fulle</t>
  </si>
  <si>
    <t>Library</t>
  </si>
  <si>
    <t>Donnelly</t>
  </si>
  <si>
    <t>Music</t>
  </si>
  <si>
    <t>PE</t>
  </si>
  <si>
    <t>Villegas</t>
  </si>
  <si>
    <t>PreK</t>
  </si>
  <si>
    <t>Norris</t>
  </si>
  <si>
    <t>Psych</t>
  </si>
  <si>
    <t>Smith</t>
  </si>
  <si>
    <t>Social Wkr</t>
  </si>
  <si>
    <t>Silver</t>
  </si>
  <si>
    <t>Speech</t>
  </si>
  <si>
    <t>Dolan</t>
  </si>
  <si>
    <t>Stu Success</t>
  </si>
  <si>
    <t>Starr</t>
  </si>
  <si>
    <t>Tech</t>
  </si>
  <si>
    <t>Ruhnke</t>
  </si>
  <si>
    <t>Mayes/Gooding</t>
  </si>
  <si>
    <t>Meneses Luna</t>
  </si>
  <si>
    <t>Bilingual Facilitator</t>
  </si>
  <si>
    <t>Mohr Colett</t>
  </si>
  <si>
    <t>?</t>
  </si>
  <si>
    <t>(17 classes x $50) x 3 parties a year?</t>
  </si>
  <si>
    <t>snack pantry</t>
  </si>
  <si>
    <t>*hasn’t been used since 2019</t>
  </si>
  <si>
    <t xml:space="preserve">   Unbudgeted Expense</t>
  </si>
  <si>
    <t xml:space="preserve">   The Wellness Center (SELC)</t>
  </si>
  <si>
    <t xml:space="preserve">   Teacher Supplies</t>
  </si>
  <si>
    <t xml:space="preserve">   Taxes &amp; Licenses</t>
  </si>
  <si>
    <t xml:space="preserve">   Sunshine Fund</t>
  </si>
  <si>
    <t xml:space="preserve">   Staff Meals/Conferences</t>
  </si>
  <si>
    <t xml:space="preserve">   Staff Appreciation</t>
  </si>
  <si>
    <t xml:space="preserve">   Science Fair (Expenses)</t>
  </si>
  <si>
    <t xml:space="preserve">   School Supplies (Expenses)</t>
  </si>
  <si>
    <t xml:space="preserve">   Scholastic Subscription (5th Grade)</t>
  </si>
  <si>
    <t xml:space="preserve">   Scholastic Subscription (3rd Grade)</t>
  </si>
  <si>
    <t xml:space="preserve">   PTO Supplies</t>
  </si>
  <si>
    <t xml:space="preserve">   PTO Meetings</t>
  </si>
  <si>
    <t xml:space="preserve">   Principal Budget</t>
  </si>
  <si>
    <t xml:space="preserve">   PayPal Fees</t>
  </si>
  <si>
    <t xml:space="preserve">   Music &amp; Concert Supplies &amp; Expenses</t>
  </si>
  <si>
    <t xml:space="preserve">   Meet Your Teacher</t>
  </si>
  <si>
    <t xml:space="preserve">   Insurance</t>
  </si>
  <si>
    <t xml:space="preserve">   Fun Run (Expenses)</t>
  </si>
  <si>
    <t xml:space="preserve">   Total Field Trips</t>
  </si>
  <si>
    <t xml:space="preserve">      Kindy</t>
  </si>
  <si>
    <t xml:space="preserve">      5th Grade</t>
  </si>
  <si>
    <t xml:space="preserve">      4th Grade</t>
  </si>
  <si>
    <t xml:space="preserve">      3rd Grade</t>
  </si>
  <si>
    <t xml:space="preserve">      2nd Grade</t>
  </si>
  <si>
    <t xml:space="preserve">      1st Grade</t>
  </si>
  <si>
    <t xml:space="preserve">   Field Trips</t>
  </si>
  <si>
    <t xml:space="preserve">   Field Day</t>
  </si>
  <si>
    <t xml:space="preserve">   Family Events - Donuts w/grownup / School Dance Etc</t>
  </si>
  <si>
    <t xml:space="preserve">   Emergency Supplies</t>
  </si>
  <si>
    <t xml:space="preserve">   Dues &amp; Subscriptions</t>
  </si>
  <si>
    <t xml:space="preserve">   Clothes Closet Donation</t>
  </si>
  <si>
    <t xml:space="preserve">   Class Parties</t>
  </si>
  <si>
    <t xml:space="preserve">   Book Room</t>
  </si>
  <si>
    <t xml:space="preserve">   Book Fair Profit Expenses</t>
  </si>
  <si>
    <t xml:space="preserve">   Battle of the Books</t>
  </si>
  <si>
    <t xml:space="preserve">   Assemblies</t>
  </si>
  <si>
    <t xml:space="preserve">   Art Literacy</t>
  </si>
  <si>
    <t xml:space="preserve">   5th Grade Send Off (Expenses)</t>
  </si>
  <si>
    <t>Gross Profit</t>
  </si>
  <si>
    <t xml:space="preserve">   Staff Appreciation Donations</t>
  </si>
  <si>
    <t xml:space="preserve">   School Supplies (Income)</t>
  </si>
  <si>
    <t xml:space="preserve">   Total Rewards Programs (Donations)</t>
  </si>
  <si>
    <t xml:space="preserve">      Kroger Rewards (Fred Meyer)</t>
  </si>
  <si>
    <t xml:space="preserve">      AmazonSmile</t>
  </si>
  <si>
    <t xml:space="preserve">   Rewards Programs (Donations)</t>
  </si>
  <si>
    <t xml:space="preserve">   Music &amp; School Concert Fundraising</t>
  </si>
  <si>
    <t xml:space="preserve">   Member/Misc (Donations)</t>
  </si>
  <si>
    <t xml:space="preserve">   Fun Run (Income)</t>
  </si>
  <si>
    <t xml:space="preserve">   Community Fundraiser - Donations Received</t>
  </si>
  <si>
    <t xml:space="preserve">   Box Tops (Income)</t>
  </si>
  <si>
    <t xml:space="preserve">   BottleDrop</t>
  </si>
  <si>
    <t xml:space="preserve">   Book Fair Sales</t>
  </si>
  <si>
    <t xml:space="preserve">   5th Grade Send Off (Income)</t>
  </si>
  <si>
    <t>Total</t>
  </si>
  <si>
    <t>Apr 2023</t>
  </si>
  <si>
    <t>Mar 2023</t>
  </si>
  <si>
    <t>Feb 2023</t>
  </si>
  <si>
    <t>Jan 2023</t>
  </si>
  <si>
    <t>Dec 2022</t>
  </si>
  <si>
    <t>Nov 2022</t>
  </si>
  <si>
    <t>Oct 2022</t>
  </si>
  <si>
    <t>Sep 2022</t>
  </si>
  <si>
    <t>Aug 2022</t>
  </si>
  <si>
    <t>Jul 2022</t>
  </si>
  <si>
    <t>Profit and Loss</t>
  </si>
  <si>
    <t>Fir Grove PTO</t>
  </si>
  <si>
    <t xml:space="preserve">   Summer Reading Party</t>
  </si>
  <si>
    <t xml:space="preserve">   Science Closet</t>
  </si>
  <si>
    <t xml:space="preserve">   Scholastic Subscription (Kindy)</t>
  </si>
  <si>
    <t xml:space="preserve">   Scholastic Subscription (2nd Grade)</t>
  </si>
  <si>
    <t xml:space="preserve">   Richard B. Siegel Grant</t>
  </si>
  <si>
    <t xml:space="preserve">   Reading Online Program</t>
  </si>
  <si>
    <t xml:space="preserve">   Popcorn</t>
  </si>
  <si>
    <t xml:space="preserve">   Planners</t>
  </si>
  <si>
    <t xml:space="preserve">   Penny Drive (Expenses)</t>
  </si>
  <si>
    <t xml:space="preserve">   Pack Leaders</t>
  </si>
  <si>
    <t xml:space="preserve">   Other Miscellaneous Service Cost</t>
  </si>
  <si>
    <t xml:space="preserve">   Oregon Trail</t>
  </si>
  <si>
    <t xml:space="preserve">   Mystery Science (Expense)</t>
  </si>
  <si>
    <t xml:space="preserve">   Movie Tickets (Expenses)</t>
  </si>
  <si>
    <t xml:space="preserve">   Math &amp; Science Grant</t>
  </si>
  <si>
    <t xml:space="preserve">   Glow Dance</t>
  </si>
  <si>
    <t xml:space="preserve">   Geography Club</t>
  </si>
  <si>
    <t xml:space="preserve">   Garden Area</t>
  </si>
  <si>
    <t xml:space="preserve">   Food Gift Cards</t>
  </si>
  <si>
    <t xml:space="preserve">      Philharmonic</t>
  </si>
  <si>
    <t xml:space="preserve">   Dry Cleaning</t>
  </si>
  <si>
    <t xml:space="preserve">   Dishwasher</t>
  </si>
  <si>
    <t xml:space="preserve">   Community Fundraiser Donated</t>
  </si>
  <si>
    <t xml:space="preserve">   College Visit</t>
  </si>
  <si>
    <t xml:space="preserve">   Chess Club</t>
  </si>
  <si>
    <t xml:space="preserve">   Brain Pop (4th)</t>
  </si>
  <si>
    <t xml:space="preserve">   Brain Pop (2nd)</t>
  </si>
  <si>
    <t xml:space="preserve">   Boy Scouts</t>
  </si>
  <si>
    <t xml:space="preserve">   Book Grant</t>
  </si>
  <si>
    <t xml:space="preserve">   Boo Hoo/Woo Hoo</t>
  </si>
  <si>
    <t xml:space="preserve">   Bank Charges</t>
  </si>
  <si>
    <t xml:space="preserve">   Accounting Adjustment Expense</t>
  </si>
  <si>
    <t xml:space="preserve">   Spirit Wear (Income)</t>
  </si>
  <si>
    <t xml:space="preserve">   Shadow Project</t>
  </si>
  <si>
    <t xml:space="preserve">   Science Fair (Income)</t>
  </si>
  <si>
    <t xml:space="preserve">   Richard B. Siegel Grant (income)</t>
  </si>
  <si>
    <t xml:space="preserve">   Penny Drive (Income)</t>
  </si>
  <si>
    <t xml:space="preserve">   Other Miscellaneous</t>
  </si>
  <si>
    <t xml:space="preserve">   Non-Profit Income</t>
  </si>
  <si>
    <t xml:space="preserve">   In Kind/Employer Match (Donations)</t>
  </si>
  <si>
    <t xml:space="preserve">   Donation (For Food)</t>
  </si>
  <si>
    <t xml:space="preserve">   Boy Scouts (Deposits)</t>
  </si>
  <si>
    <t xml:space="preserve">   Battle of the Books (Income)</t>
  </si>
  <si>
    <t xml:space="preserve">   Accounting Adjustment</t>
  </si>
  <si>
    <t xml:space="preserve">   Total 5th Grade Send Off (Income)</t>
  </si>
  <si>
    <t xml:space="preserve">      Holiday-o-grams (Income)</t>
  </si>
  <si>
    <t>Jul 2021 - Jun 2022</t>
  </si>
  <si>
    <t>Jul 2020 - Jun 2021</t>
  </si>
  <si>
    <t>Jul 2019 - Jun 2020</t>
  </si>
  <si>
    <t>Jul 2018 - Jun 2019</t>
  </si>
  <si>
    <t>Jul 2017 - Jun 2018</t>
  </si>
  <si>
    <t>July 1, 2017 - May 9, 2023</t>
  </si>
  <si>
    <t xml:space="preserve">Book Fair Profit </t>
  </si>
  <si>
    <t>After concession expenses of $158, the actual amount generated was $249. Do we want to commit to the dance again next year and let Fifth graders sell concessions again?</t>
  </si>
  <si>
    <t xml:space="preserve">$3000 is a realistic cash profit for next year ($1500 from each fair) </t>
  </si>
  <si>
    <t>N/A. remove from budget</t>
  </si>
  <si>
    <t>Keep same</t>
  </si>
  <si>
    <t xml:space="preserve">Line item to add </t>
  </si>
  <si>
    <t>Reduce since we'll no longer be receiving a kickback from amazon. Kroger generated $459</t>
  </si>
  <si>
    <t>Add back in. Right now we're on track to bring in $200</t>
  </si>
  <si>
    <t>Keep same.</t>
  </si>
  <si>
    <t xml:space="preserve">Reduce? Based on the last 3 years of spending. </t>
  </si>
  <si>
    <t xml:space="preserve">Keep same. </t>
  </si>
  <si>
    <t>Mrs. Donnelly requested $1500 cash profit from each book fair for a total of $3000, therefore this profit should be her book budget for next year.</t>
  </si>
  <si>
    <t xml:space="preserve">Remove? Im not sure what this line item was for. </t>
  </si>
  <si>
    <t>Keep same?</t>
  </si>
  <si>
    <t>Remove?</t>
  </si>
  <si>
    <t>Restaurant/Retail Fundraiser</t>
  </si>
  <si>
    <t xml:space="preserve">Suggesting we remove this as an item to be budgeted for. </t>
  </si>
  <si>
    <t xml:space="preserve">Increase a little. $990 was our profit prior to the $1711 added from McMenamins. Its unknown at this point whether or not we'll get McMenamins again next year. </t>
  </si>
  <si>
    <t>remove</t>
  </si>
  <si>
    <t xml:space="preserve">*we had agreed to fund an additional $2750 and with the $250 already given, that puts music funding at $3000. Ms Colette is now asking for $3500 just for next year because inflation brought up the price of instruments. </t>
  </si>
  <si>
    <t xml:space="preserve">keep same. </t>
  </si>
  <si>
    <t>Reduce. Zoom cancelled ($149). Smore $126, Wordpress $48, Quickbooks $215-270ish, godaddy $40</t>
  </si>
  <si>
    <t>Reduce based on past years where expenses have mostly ranged from 2200-3500</t>
  </si>
  <si>
    <t>increase and rename to green team garden budget.</t>
  </si>
  <si>
    <t>Say what? Remove unless someone reignites this flame.</t>
  </si>
  <si>
    <t xml:space="preserve">Reduce. </t>
  </si>
  <si>
    <t>NA. Remove</t>
  </si>
  <si>
    <t xml:space="preserve">Remove. Hasn’t been utilized in 3 years. </t>
  </si>
  <si>
    <t>Reduce. Past years we've spent 139-219.</t>
  </si>
  <si>
    <t>Reduce based on past spending which has ranged from 31-117 (the highest being when we bought an air purifier this year)</t>
  </si>
  <si>
    <t xml:space="preserve">Remove. Hasn’t been used the last 2 years. </t>
  </si>
  <si>
    <t xml:space="preserve">To Be Discused. </t>
  </si>
  <si>
    <t xml:space="preserve">Remove. Hasn’t been used in 2 years. </t>
  </si>
  <si>
    <t>Reduce based on past spending.</t>
  </si>
  <si>
    <t xml:space="preserve">Reduce based on past spending. </t>
  </si>
  <si>
    <t xml:space="preserve">Keep same or slightly reduce? </t>
  </si>
  <si>
    <t>Up for discussion to add?</t>
  </si>
  <si>
    <t>Keep Same</t>
  </si>
  <si>
    <t xml:space="preserve">Remove. Only happened once in 5 years. </t>
  </si>
  <si>
    <t>Keep Same.</t>
  </si>
  <si>
    <t xml:space="preserve">Keep Same. </t>
  </si>
  <si>
    <t>Do we want to keep this, considering the massive amount of music funding we've already agreed to add?</t>
  </si>
  <si>
    <t xml:space="preserve">Keep same depending on concession sales </t>
  </si>
  <si>
    <t>Tuesday, May 09, 2023 11:26:07 AM GMT-7 - Accrual Basis</t>
  </si>
  <si>
    <t xml:space="preserve">   Restaurant / Retail Fundraisers</t>
  </si>
  <si>
    <t>Tuesday, May 09, 2023 11:29:06 AM GMT-7 - Accrual Basis</t>
  </si>
  <si>
    <t>May 1-9, 2023</t>
  </si>
  <si>
    <t>July 1, 2022 - May 9, 2023</t>
  </si>
  <si>
    <t>Tuesday, May 09, 2023 11:32:06 AM GMT-7 - Accrual Basis</t>
  </si>
  <si>
    <t>YTD Actual</t>
  </si>
  <si>
    <t>End of Yr Estimate</t>
  </si>
  <si>
    <t>Increase a bit? Right now we're on track to bring in $3000</t>
  </si>
  <si>
    <t xml:space="preserve">Keep same. $25/student plus $250 for bus cost.  Using 65 headcount per grade. Budgeted the same for each grade, knowing HC will differ among grades.  Expect some grades might go over budget, others may be under budget.  Also, $250 bus budget may be low, however $25/student is high so it should even out. </t>
  </si>
  <si>
    <t>Current Budget</t>
  </si>
  <si>
    <t>Proposed Budget for 23/24</t>
  </si>
  <si>
    <t>*</t>
  </si>
  <si>
    <t>Enrichment Programs</t>
  </si>
  <si>
    <t>Staff Support</t>
  </si>
  <si>
    <t>PTO Admin</t>
  </si>
  <si>
    <t>Community Events</t>
  </si>
  <si>
    <t>Other</t>
  </si>
  <si>
    <t>Grand Total</t>
  </si>
  <si>
    <t>Garden Area/Green Team</t>
  </si>
  <si>
    <t>Jul 22 - May 9,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</si>
</sst>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0_);\(0.00\)"/>
    <numFmt numFmtId="165" formatCode="_(* #,##0_);_(* \(#,##0\);_(* &quot;-&quot;??_);_(@_)"/>
    <numFmt numFmtId="166" formatCode="0_);\(0\)"/>
    <numFmt numFmtId="167" formatCode="_(&quot;$&quot;* #,##0_);_(&quot;$&quot;* \(#,##0\);_(&quot;$&quot;* &quot;-&quot;??_);_(@_)"/>
    <numFmt numFmtId="168" formatCode="#,##0.00\ _€"/>
    <numFmt numFmtId="169" formatCode="&quot;$&quot;* #,##0.00\ _€"/>
  </numFmts>
  <fonts count="35" x14ac:knownFonts="1">
    <font>
      <sz val="11"/>
      <color theme="1"/>
      <name val="Calibri"/>
      <family val="2"/>
      <scheme val="minor"/>
    </font>
    <font>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8"/>
      <name val="Calibri"/>
      <family val="2"/>
      <scheme val="minor"/>
    </font>
    <font>
      <sz val="10"/>
      <color theme="1"/>
      <name val="Calibri"/>
      <family val="2"/>
      <scheme val="minor"/>
    </font>
    <font>
      <b/>
      <sz val="9"/>
      <color indexed="81"/>
      <name val="Tahoma"/>
      <family val="2"/>
    </font>
    <font>
      <sz val="9"/>
      <color indexed="81"/>
      <name val="Tahoma"/>
      <family val="2"/>
    </font>
    <font>
      <b/>
      <sz val="9"/>
      <color indexed="81"/>
      <name val="Tahoma"/>
      <charset val="1"/>
    </font>
    <font>
      <sz val="9"/>
      <color indexed="81"/>
      <name val="Tahoma"/>
      <charset val="1"/>
    </font>
    <font>
      <strike/>
      <sz val="10"/>
      <name val="Calibri"/>
      <family val="2"/>
      <scheme val="minor"/>
    </font>
    <font>
      <strike/>
      <sz val="11"/>
      <color theme="1"/>
      <name val="Calibri"/>
      <family val="2"/>
      <scheme val="minor"/>
    </font>
    <font>
      <b/>
      <strike/>
      <sz val="10"/>
      <name val="Calibri"/>
      <family val="2"/>
      <scheme val="minor"/>
    </font>
    <font>
      <strike/>
      <sz val="10"/>
      <color theme="1"/>
      <name val="Calibri"/>
      <family val="2"/>
      <scheme val="minor"/>
    </font>
    <font>
      <sz val="10"/>
      <color rgb="FFFF0000"/>
      <name val="Calibri"/>
      <family val="2"/>
      <scheme val="minor"/>
    </font>
    <font>
      <strike/>
      <sz val="10"/>
      <color rgb="FFFF0000"/>
      <name val="Calibri"/>
      <family val="2"/>
      <scheme val="minor"/>
    </font>
    <font>
      <strike/>
      <sz val="11"/>
      <color rgb="FFFF0000"/>
      <name val="Calibri"/>
      <family val="2"/>
      <scheme val="minor"/>
    </font>
    <font>
      <sz val="11"/>
      <color indexed="8"/>
      <name val="Calibri"/>
      <family val="2"/>
      <scheme val="minor"/>
    </font>
    <font>
      <sz val="8"/>
      <color indexed="8"/>
      <name val="Arial"/>
      <family val="2"/>
    </font>
    <font>
      <b/>
      <sz val="8"/>
      <color indexed="8"/>
      <name val="Arial"/>
      <family val="2"/>
    </font>
    <font>
      <b/>
      <sz val="9"/>
      <color indexed="8"/>
      <name val="Arial"/>
      <family val="2"/>
    </font>
    <font>
      <b/>
      <sz val="10"/>
      <color indexed="8"/>
      <name val="Arial"/>
      <family val="2"/>
    </font>
    <font>
      <b/>
      <sz val="14"/>
      <color indexed="8"/>
      <name val="Arial"/>
      <family val="2"/>
    </font>
    <font>
      <sz val="11"/>
      <name val="Calibri"/>
      <family val="2"/>
      <scheme val="minor"/>
    </font>
    <font>
      <sz val="12"/>
      <name val="Calibri"/>
      <family val="2"/>
      <scheme val="minor"/>
    </font>
    <font>
      <b/>
      <sz val="12"/>
      <name val="Calibri"/>
      <family val="2"/>
      <scheme val="minor"/>
    </font>
    <font>
      <sz val="12"/>
      <color theme="1"/>
      <name val="Calibri"/>
      <family val="2"/>
      <scheme val="minor"/>
    </font>
    <font>
      <sz val="12"/>
      <color rgb="FFFF0000"/>
      <name val="Calibri"/>
      <family val="2"/>
      <scheme val="minor"/>
    </font>
    <font>
      <strike/>
      <sz val="12"/>
      <name val="Calibri"/>
      <family val="2"/>
      <scheme val="minor"/>
    </font>
    <font>
      <strike/>
      <sz val="12"/>
      <color theme="1"/>
      <name val="Calibri"/>
      <family val="2"/>
      <scheme val="minor"/>
    </font>
    <font>
      <sz val="12"/>
      <color rgb="FFC00000"/>
      <name val="Calibri"/>
      <family val="2"/>
      <scheme val="minor"/>
    </font>
    <font>
      <strike/>
      <sz val="12"/>
      <color rgb="FFFF0000"/>
      <name val="Calibri"/>
      <family val="2"/>
      <scheme val="minor"/>
    </font>
    <font>
      <strike/>
      <sz val="12"/>
      <color rgb="FFC00000"/>
      <name val="Calibri"/>
      <family val="2"/>
      <scheme val="minor"/>
    </font>
    <font>
      <b/>
      <sz val="12"/>
      <color theme="1"/>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s>
  <borders count="10">
    <border>
      <left/>
      <right/>
      <top/>
      <bottom/>
      <diagonal/>
    </border>
    <border>
      <left/>
      <right/>
      <top/>
      <bottom style="thin">
        <color indexed="64"/>
      </bottom>
      <diagonal/>
    </border>
    <border>
      <left/>
      <right/>
      <top/>
      <bottom style="thin">
        <color indexed="8"/>
      </bottom>
      <diagonal/>
    </border>
    <border>
      <left/>
      <right/>
      <top style="thin">
        <color indexed="64"/>
      </top>
      <bottom style="thin">
        <color indexed="64"/>
      </bottom>
      <diagonal/>
    </border>
    <border>
      <left/>
      <right/>
      <top style="thin">
        <color indexed="8"/>
      </top>
      <bottom style="thin">
        <color indexed="64"/>
      </bottom>
      <diagonal/>
    </border>
    <border>
      <left/>
      <right/>
      <top style="thin">
        <color indexed="64"/>
      </top>
      <bottom/>
      <diagonal/>
    </border>
    <border>
      <left/>
      <right/>
      <top style="thin">
        <color indexed="8"/>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8" fillId="0" borderId="0"/>
  </cellStyleXfs>
  <cellXfs count="189">
    <xf numFmtId="0" fontId="0" fillId="0" borderId="0" xfId="0"/>
    <xf numFmtId="0" fontId="3" fillId="0" borderId="1" xfId="0" applyFont="1" applyBorder="1"/>
    <xf numFmtId="17" fontId="4" fillId="0" borderId="2" xfId="0" applyNumberFormat="1" applyFont="1" applyBorder="1" applyAlignment="1">
      <alignment horizontal="center"/>
    </xf>
    <xf numFmtId="17" fontId="4" fillId="2" borderId="2" xfId="0" applyNumberFormat="1" applyFont="1" applyFill="1" applyBorder="1" applyAlignment="1">
      <alignment horizontal="center"/>
    </xf>
    <xf numFmtId="164" fontId="4" fillId="0" borderId="2" xfId="0" applyNumberFormat="1" applyFont="1" applyBorder="1" applyAlignment="1">
      <alignment horizontal="center"/>
    </xf>
    <xf numFmtId="0" fontId="4" fillId="0" borderId="0" xfId="0" applyFont="1" applyAlignment="1">
      <alignment horizontal="left"/>
    </xf>
    <xf numFmtId="165" fontId="5" fillId="0" borderId="0" xfId="1" applyNumberFormat="1" applyFont="1"/>
    <xf numFmtId="164" fontId="5" fillId="0" borderId="0" xfId="0" applyNumberFormat="1" applyFont="1"/>
    <xf numFmtId="164" fontId="5" fillId="2" borderId="0" xfId="0" applyNumberFormat="1" applyFont="1" applyFill="1"/>
    <xf numFmtId="166" fontId="5" fillId="2" borderId="0" xfId="0" applyNumberFormat="1" applyFont="1" applyFill="1"/>
    <xf numFmtId="164" fontId="5" fillId="3" borderId="0" xfId="0" applyNumberFormat="1" applyFont="1" applyFill="1"/>
    <xf numFmtId="164" fontId="5" fillId="4" borderId="0" xfId="0" applyNumberFormat="1" applyFont="1" applyFill="1"/>
    <xf numFmtId="4" fontId="3" fillId="0" borderId="0" xfId="0" applyNumberFormat="1" applyFont="1" applyAlignment="1">
      <alignment horizontal="left"/>
    </xf>
    <xf numFmtId="165" fontId="3" fillId="0" borderId="0" xfId="1" applyNumberFormat="1" applyFont="1" applyBorder="1" applyAlignment="1">
      <alignment horizontal="right"/>
    </xf>
    <xf numFmtId="0" fontId="3" fillId="0" borderId="0" xfId="0" applyFont="1"/>
    <xf numFmtId="165" fontId="3" fillId="2" borderId="0" xfId="1" applyNumberFormat="1" applyFont="1" applyFill="1" applyBorder="1" applyAlignment="1">
      <alignment horizontal="right"/>
    </xf>
    <xf numFmtId="165" fontId="3" fillId="2" borderId="0" xfId="1" applyNumberFormat="1" applyFont="1" applyFill="1" applyAlignment="1">
      <alignment horizontal="right"/>
    </xf>
    <xf numFmtId="165" fontId="3" fillId="3" borderId="0" xfId="1" applyNumberFormat="1" applyFont="1" applyFill="1" applyBorder="1" applyAlignment="1">
      <alignment horizontal="right"/>
    </xf>
    <xf numFmtId="165" fontId="3" fillId="4" borderId="0" xfId="1" applyNumberFormat="1" applyFont="1" applyFill="1" applyBorder="1" applyAlignment="1">
      <alignment horizontal="right"/>
    </xf>
    <xf numFmtId="165" fontId="4" fillId="0" borderId="0" xfId="1" applyNumberFormat="1" applyFont="1" applyAlignment="1">
      <alignment horizontal="right"/>
    </xf>
    <xf numFmtId="165" fontId="4" fillId="2" borderId="0" xfId="1" applyNumberFormat="1" applyFont="1" applyFill="1" applyAlignment="1">
      <alignment horizontal="right"/>
    </xf>
    <xf numFmtId="165" fontId="3" fillId="0" borderId="0" xfId="1" applyNumberFormat="1" applyFont="1" applyAlignment="1">
      <alignment horizontal="right"/>
    </xf>
    <xf numFmtId="165" fontId="3" fillId="4" borderId="0" xfId="1" applyNumberFormat="1" applyFont="1" applyFill="1" applyAlignment="1">
      <alignment horizontal="right"/>
    </xf>
    <xf numFmtId="165" fontId="6" fillId="0" borderId="0" xfId="1" applyNumberFormat="1" applyFont="1" applyAlignment="1">
      <alignment horizontal="right"/>
    </xf>
    <xf numFmtId="165" fontId="3" fillId="2" borderId="0" xfId="1" applyNumberFormat="1" applyFont="1" applyFill="1"/>
    <xf numFmtId="0" fontId="6" fillId="0" borderId="0" xfId="0" applyFont="1" applyAlignment="1">
      <alignment horizontal="left"/>
    </xf>
    <xf numFmtId="165" fontId="3" fillId="3" borderId="0" xfId="1" applyNumberFormat="1" applyFont="1" applyFill="1" applyAlignment="1">
      <alignment horizontal="right"/>
    </xf>
    <xf numFmtId="4" fontId="4" fillId="0" borderId="3" xfId="0" applyNumberFormat="1" applyFont="1" applyBorder="1" applyAlignment="1">
      <alignment horizontal="left"/>
    </xf>
    <xf numFmtId="165" fontId="4" fillId="0" borderId="3" xfId="1" applyNumberFormat="1" applyFont="1" applyBorder="1" applyAlignment="1">
      <alignment horizontal="right"/>
    </xf>
    <xf numFmtId="165" fontId="4" fillId="2" borderId="3" xfId="1" applyNumberFormat="1" applyFont="1" applyFill="1" applyBorder="1" applyAlignment="1">
      <alignment horizontal="right"/>
    </xf>
    <xf numFmtId="165" fontId="4" fillId="3" borderId="3" xfId="1" applyNumberFormat="1" applyFont="1" applyFill="1" applyBorder="1" applyAlignment="1">
      <alignment horizontal="right"/>
    </xf>
    <xf numFmtId="165" fontId="4" fillId="4" borderId="3" xfId="1" applyNumberFormat="1" applyFont="1" applyFill="1" applyBorder="1" applyAlignment="1">
      <alignment horizontal="right"/>
    </xf>
    <xf numFmtId="165" fontId="3" fillId="0" borderId="0" xfId="1" applyNumberFormat="1" applyFont="1" applyFill="1"/>
    <xf numFmtId="165" fontId="3" fillId="3" borderId="0" xfId="1" applyNumberFormat="1" applyFont="1" applyFill="1"/>
    <xf numFmtId="165" fontId="3" fillId="4" borderId="0" xfId="1" applyNumberFormat="1" applyFont="1" applyFill="1"/>
    <xf numFmtId="165" fontId="3" fillId="0" borderId="0" xfId="1" applyNumberFormat="1" applyFont="1" applyFill="1" applyAlignment="1">
      <alignment horizontal="right"/>
    </xf>
    <xf numFmtId="0" fontId="3" fillId="0" borderId="0" xfId="0" applyFont="1" applyAlignment="1">
      <alignment horizontal="left"/>
    </xf>
    <xf numFmtId="0" fontId="3" fillId="0" borderId="0" xfId="0" applyFont="1" applyAlignment="1">
      <alignment horizontal="left" vertical="top"/>
    </xf>
    <xf numFmtId="0" fontId="3" fillId="0" borderId="1" xfId="0" applyFont="1" applyBorder="1" applyAlignment="1">
      <alignment horizontal="left" vertical="top"/>
    </xf>
    <xf numFmtId="165" fontId="3" fillId="0" borderId="1" xfId="1" applyNumberFormat="1" applyFont="1" applyBorder="1" applyAlignment="1">
      <alignment horizontal="right"/>
    </xf>
    <xf numFmtId="165" fontId="3" fillId="2" borderId="1" xfId="1" applyNumberFormat="1" applyFont="1" applyFill="1" applyBorder="1" applyAlignment="1">
      <alignment horizontal="right"/>
    </xf>
    <xf numFmtId="165" fontId="3" fillId="3" borderId="1" xfId="1" applyNumberFormat="1" applyFont="1" applyFill="1" applyBorder="1" applyAlignment="1">
      <alignment horizontal="right"/>
    </xf>
    <xf numFmtId="165" fontId="3" fillId="4" borderId="1" xfId="1" applyNumberFormat="1" applyFont="1" applyFill="1" applyBorder="1" applyAlignment="1">
      <alignment horizontal="right"/>
    </xf>
    <xf numFmtId="4" fontId="4" fillId="0" borderId="0" xfId="0" applyNumberFormat="1" applyFont="1" applyAlignment="1">
      <alignment horizontal="left"/>
    </xf>
    <xf numFmtId="4" fontId="3" fillId="0" borderId="0" xfId="0" applyNumberFormat="1" applyFont="1" applyAlignment="1">
      <alignment horizontal="left" indent="1"/>
    </xf>
    <xf numFmtId="164" fontId="3" fillId="0" borderId="0" xfId="0" applyNumberFormat="1" applyFont="1"/>
    <xf numFmtId="165" fontId="3" fillId="0" borderId="0" xfId="1" applyNumberFormat="1" applyFont="1"/>
    <xf numFmtId="4" fontId="3" fillId="0" borderId="0" xfId="0" applyNumberFormat="1" applyFont="1" applyAlignment="1">
      <alignment horizontal="left" vertical="top" indent="1"/>
    </xf>
    <xf numFmtId="165" fontId="4" fillId="3" borderId="4" xfId="1" applyNumberFormat="1" applyFont="1" applyFill="1" applyBorder="1" applyAlignment="1">
      <alignment horizontal="right"/>
    </xf>
    <xf numFmtId="165" fontId="4" fillId="4" borderId="4" xfId="1" applyNumberFormat="1" applyFont="1" applyFill="1" applyBorder="1" applyAlignment="1">
      <alignment horizontal="right"/>
    </xf>
    <xf numFmtId="4" fontId="4" fillId="0" borderId="5" xfId="0" applyNumberFormat="1" applyFont="1" applyBorder="1" applyAlignment="1">
      <alignment horizontal="left"/>
    </xf>
    <xf numFmtId="165" fontId="4" fillId="0" borderId="0" xfId="1" applyNumberFormat="1" applyFont="1" applyBorder="1" applyAlignment="1">
      <alignment horizontal="right"/>
    </xf>
    <xf numFmtId="165" fontId="4" fillId="2" borderId="0" xfId="1" applyNumberFormat="1" applyFont="1" applyFill="1" applyBorder="1" applyAlignment="1">
      <alignment horizontal="right"/>
    </xf>
    <xf numFmtId="165" fontId="4" fillId="3" borderId="0" xfId="1" applyNumberFormat="1" applyFont="1" applyFill="1" applyBorder="1" applyAlignment="1">
      <alignment horizontal="right"/>
    </xf>
    <xf numFmtId="165" fontId="4" fillId="4" borderId="0" xfId="1" applyNumberFormat="1" applyFont="1" applyFill="1" applyBorder="1" applyAlignment="1">
      <alignment horizontal="right"/>
    </xf>
    <xf numFmtId="4" fontId="3" fillId="0" borderId="1" xfId="0" applyNumberFormat="1" applyFont="1" applyBorder="1" applyAlignment="1">
      <alignment horizontal="left"/>
    </xf>
    <xf numFmtId="4" fontId="4" fillId="0" borderId="1" xfId="0" applyNumberFormat="1" applyFont="1" applyBorder="1" applyAlignment="1">
      <alignment horizontal="left"/>
    </xf>
    <xf numFmtId="165" fontId="4" fillId="0" borderId="6" xfId="1" applyNumberFormat="1" applyFont="1" applyBorder="1" applyAlignment="1">
      <alignment horizontal="right"/>
    </xf>
    <xf numFmtId="165" fontId="4" fillId="2" borderId="6" xfId="1" applyNumberFormat="1" applyFont="1" applyFill="1" applyBorder="1" applyAlignment="1">
      <alignment horizontal="right"/>
    </xf>
    <xf numFmtId="165" fontId="4" fillId="3" borderId="6" xfId="1" applyNumberFormat="1" applyFont="1" applyFill="1" applyBorder="1" applyAlignment="1">
      <alignment horizontal="right"/>
    </xf>
    <xf numFmtId="165" fontId="4" fillId="4" borderId="6" xfId="1" applyNumberFormat="1" applyFont="1" applyFill="1" applyBorder="1" applyAlignment="1">
      <alignment horizontal="right"/>
    </xf>
    <xf numFmtId="165" fontId="4" fillId="0" borderId="7" xfId="1" applyNumberFormat="1" applyFont="1" applyBorder="1" applyAlignment="1">
      <alignment horizontal="right"/>
    </xf>
    <xf numFmtId="165" fontId="4" fillId="2" borderId="7" xfId="1" applyNumberFormat="1" applyFont="1" applyFill="1" applyBorder="1" applyAlignment="1">
      <alignment horizontal="right"/>
    </xf>
    <xf numFmtId="165" fontId="4" fillId="3" borderId="7" xfId="1" applyNumberFormat="1" applyFont="1" applyFill="1" applyBorder="1" applyAlignment="1">
      <alignment horizontal="right"/>
    </xf>
    <xf numFmtId="165" fontId="4" fillId="4" borderId="7" xfId="1" applyNumberFormat="1" applyFont="1" applyFill="1" applyBorder="1" applyAlignment="1">
      <alignment horizontal="right"/>
    </xf>
    <xf numFmtId="4" fontId="11" fillId="0" borderId="0" xfId="0" applyNumberFormat="1" applyFont="1" applyAlignment="1">
      <alignment horizontal="left"/>
    </xf>
    <xf numFmtId="165" fontId="11" fillId="0" borderId="0" xfId="1" applyNumberFormat="1" applyFont="1" applyAlignment="1">
      <alignment horizontal="right"/>
    </xf>
    <xf numFmtId="165" fontId="11" fillId="2" borderId="0" xfId="1" applyNumberFormat="1" applyFont="1" applyFill="1" applyAlignment="1">
      <alignment horizontal="right"/>
    </xf>
    <xf numFmtId="165" fontId="11" fillId="3" borderId="0" xfId="1" applyNumberFormat="1" applyFont="1" applyFill="1" applyBorder="1" applyAlignment="1">
      <alignment horizontal="right"/>
    </xf>
    <xf numFmtId="165" fontId="11" fillId="4" borderId="0" xfId="1" applyNumberFormat="1" applyFont="1" applyFill="1" applyAlignment="1">
      <alignment horizontal="right"/>
    </xf>
    <xf numFmtId="0" fontId="12" fillId="0" borderId="0" xfId="0" applyFont="1"/>
    <xf numFmtId="165" fontId="11" fillId="3" borderId="0" xfId="1" applyNumberFormat="1" applyFont="1" applyFill="1" applyAlignment="1">
      <alignment horizontal="right"/>
    </xf>
    <xf numFmtId="165" fontId="13" fillId="2" borderId="0" xfId="1" applyNumberFormat="1" applyFont="1" applyFill="1" applyAlignment="1">
      <alignment horizontal="right"/>
    </xf>
    <xf numFmtId="0" fontId="14" fillId="0" borderId="0" xfId="0" applyFont="1" applyAlignment="1">
      <alignment horizontal="left"/>
    </xf>
    <xf numFmtId="0" fontId="15" fillId="0" borderId="0" xfId="0" applyFont="1" applyAlignment="1">
      <alignment horizontal="left"/>
    </xf>
    <xf numFmtId="4" fontId="16" fillId="0" borderId="0" xfId="0" applyNumberFormat="1" applyFont="1" applyAlignment="1">
      <alignment horizontal="left"/>
    </xf>
    <xf numFmtId="165" fontId="16" fillId="0" borderId="0" xfId="1" applyNumberFormat="1" applyFont="1" applyAlignment="1">
      <alignment horizontal="right"/>
    </xf>
    <xf numFmtId="165" fontId="16" fillId="2" borderId="0" xfId="1" applyNumberFormat="1" applyFont="1" applyFill="1" applyAlignment="1">
      <alignment horizontal="right"/>
    </xf>
    <xf numFmtId="165" fontId="16" fillId="3" borderId="0" xfId="1" applyNumberFormat="1" applyFont="1" applyFill="1" applyAlignment="1">
      <alignment horizontal="right"/>
    </xf>
    <xf numFmtId="165" fontId="16" fillId="4" borderId="0" xfId="1" applyNumberFormat="1" applyFont="1" applyFill="1" applyAlignment="1">
      <alignment horizontal="right"/>
    </xf>
    <xf numFmtId="0" fontId="17" fillId="0" borderId="0" xfId="0" applyFont="1"/>
    <xf numFmtId="4" fontId="14" fillId="0" borderId="0" xfId="0" applyNumberFormat="1" applyFont="1" applyAlignment="1">
      <alignment horizontal="left"/>
    </xf>
    <xf numFmtId="165" fontId="15" fillId="4" borderId="0" xfId="1" applyNumberFormat="1" applyFont="1" applyFill="1" applyAlignment="1">
      <alignment horizontal="right"/>
    </xf>
    <xf numFmtId="0" fontId="2" fillId="0" borderId="0" xfId="0" applyFont="1"/>
    <xf numFmtId="0" fontId="0" fillId="0" borderId="8" xfId="0" applyBorder="1"/>
    <xf numFmtId="43" fontId="0" fillId="0" borderId="8" xfId="1" applyFont="1" applyBorder="1"/>
    <xf numFmtId="43" fontId="0" fillId="3" borderId="8" xfId="1" applyFont="1" applyFill="1" applyBorder="1"/>
    <xf numFmtId="0" fontId="0" fillId="5" borderId="8" xfId="0" applyFill="1" applyBorder="1"/>
    <xf numFmtId="43" fontId="0" fillId="0" borderId="0" xfId="1" applyFont="1" applyBorder="1"/>
    <xf numFmtId="43" fontId="0" fillId="3" borderId="0" xfId="1" applyFont="1" applyFill="1" applyBorder="1"/>
    <xf numFmtId="167" fontId="0" fillId="0" borderId="0" xfId="2" applyNumberFormat="1" applyFont="1"/>
    <xf numFmtId="0" fontId="18" fillId="0" borderId="0" xfId="4"/>
    <xf numFmtId="168" fontId="19" fillId="0" borderId="0" xfId="4" applyNumberFormat="1" applyFont="1" applyAlignment="1">
      <alignment wrapText="1"/>
    </xf>
    <xf numFmtId="0" fontId="20" fillId="0" borderId="0" xfId="4" applyFont="1" applyAlignment="1">
      <alignment horizontal="left" wrapText="1"/>
    </xf>
    <xf numFmtId="169" fontId="20" fillId="0" borderId="9" xfId="4" applyNumberFormat="1" applyFont="1" applyBorder="1" applyAlignment="1">
      <alignment horizontal="right" wrapText="1"/>
    </xf>
    <xf numFmtId="168" fontId="19" fillId="0" borderId="0" xfId="4" applyNumberFormat="1" applyFont="1" applyAlignment="1">
      <alignment horizontal="right" wrapText="1"/>
    </xf>
    <xf numFmtId="0" fontId="21" fillId="0" borderId="1" xfId="4" applyFont="1" applyBorder="1" applyAlignment="1">
      <alignment horizontal="center" wrapText="1"/>
    </xf>
    <xf numFmtId="0" fontId="18" fillId="0" borderId="0" xfId="4" applyAlignment="1">
      <alignment wrapText="1"/>
    </xf>
    <xf numFmtId="0" fontId="0" fillId="0" borderId="0" xfId="0" applyAlignment="1">
      <alignment wrapText="1"/>
    </xf>
    <xf numFmtId="0" fontId="24" fillId="0" borderId="0" xfId="0" applyFont="1"/>
    <xf numFmtId="167" fontId="27" fillId="0" borderId="0" xfId="2" applyNumberFormat="1" applyFont="1" applyAlignment="1">
      <alignment vertical="top"/>
    </xf>
    <xf numFmtId="0" fontId="27" fillId="0" borderId="0" xfId="0" applyFont="1" applyAlignment="1">
      <alignment vertical="top" wrapText="1"/>
    </xf>
    <xf numFmtId="164" fontId="25" fillId="0" borderId="0" xfId="0" applyNumberFormat="1" applyFont="1" applyAlignment="1">
      <alignment vertical="top"/>
    </xf>
    <xf numFmtId="167" fontId="27" fillId="6" borderId="0" xfId="2" applyNumberFormat="1" applyFont="1" applyFill="1" applyAlignment="1">
      <alignment vertical="top"/>
    </xf>
    <xf numFmtId="165" fontId="25" fillId="0" borderId="0" xfId="1" applyNumberFormat="1" applyFont="1" applyFill="1" applyBorder="1" applyAlignment="1">
      <alignment horizontal="right" vertical="top"/>
    </xf>
    <xf numFmtId="167" fontId="28" fillId="6" borderId="0" xfId="2" applyNumberFormat="1" applyFont="1" applyFill="1" applyAlignment="1">
      <alignment vertical="top"/>
    </xf>
    <xf numFmtId="165" fontId="25" fillId="0" borderId="0" xfId="1" applyNumberFormat="1" applyFont="1" applyFill="1" applyAlignment="1">
      <alignment horizontal="right" vertical="top"/>
    </xf>
    <xf numFmtId="165" fontId="28" fillId="0" borderId="0" xfId="1" applyNumberFormat="1" applyFont="1" applyFill="1" applyAlignment="1">
      <alignment horizontal="right" vertical="top"/>
    </xf>
    <xf numFmtId="165" fontId="29" fillId="0" borderId="0" xfId="1" applyNumberFormat="1" applyFont="1" applyFill="1" applyAlignment="1">
      <alignment horizontal="right" vertical="top"/>
    </xf>
    <xf numFmtId="167" fontId="30" fillId="6" borderId="0" xfId="2" applyNumberFormat="1" applyFont="1" applyFill="1" applyAlignment="1">
      <alignment vertical="top"/>
    </xf>
    <xf numFmtId="165" fontId="26" fillId="0" borderId="0" xfId="1" applyNumberFormat="1" applyFont="1" applyFill="1" applyBorder="1" applyAlignment="1">
      <alignment horizontal="right" vertical="top"/>
    </xf>
    <xf numFmtId="167" fontId="26" fillId="6" borderId="3" xfId="2" applyNumberFormat="1" applyFont="1" applyFill="1" applyBorder="1" applyAlignment="1">
      <alignment horizontal="right" vertical="top"/>
    </xf>
    <xf numFmtId="165" fontId="25" fillId="0" borderId="0" xfId="1" applyNumberFormat="1" applyFont="1" applyFill="1" applyBorder="1" applyAlignment="1">
      <alignment vertical="top"/>
    </xf>
    <xf numFmtId="0" fontId="25" fillId="0" borderId="0" xfId="0" applyFont="1" applyAlignment="1">
      <alignment vertical="top" wrapText="1"/>
    </xf>
    <xf numFmtId="167" fontId="25" fillId="6" borderId="0" xfId="2" applyNumberFormat="1" applyFont="1" applyFill="1" applyAlignment="1">
      <alignment vertical="top"/>
    </xf>
    <xf numFmtId="167" fontId="31" fillId="6" borderId="0" xfId="2" applyNumberFormat="1" applyFont="1" applyFill="1" applyAlignment="1">
      <alignment vertical="top"/>
    </xf>
    <xf numFmtId="167" fontId="27" fillId="6" borderId="1" xfId="2" applyNumberFormat="1" applyFont="1" applyFill="1" applyBorder="1" applyAlignment="1">
      <alignment vertical="top"/>
    </xf>
    <xf numFmtId="165" fontId="28" fillId="0" borderId="0" xfId="1" applyNumberFormat="1" applyFont="1" applyFill="1" applyBorder="1" applyAlignment="1">
      <alignment horizontal="right" vertical="top"/>
    </xf>
    <xf numFmtId="0" fontId="28" fillId="0" borderId="0" xfId="0" applyFont="1" applyAlignment="1">
      <alignment vertical="top" wrapText="1"/>
    </xf>
    <xf numFmtId="167" fontId="26" fillId="6" borderId="4" xfId="2" applyNumberFormat="1" applyFont="1" applyFill="1" applyBorder="1" applyAlignment="1">
      <alignment horizontal="right" vertical="top"/>
    </xf>
    <xf numFmtId="165" fontId="32" fillId="0" borderId="0" xfId="1" applyNumberFormat="1" applyFont="1" applyFill="1" applyAlignment="1">
      <alignment horizontal="right" vertical="top"/>
    </xf>
    <xf numFmtId="167" fontId="32" fillId="6" borderId="0" xfId="2" applyNumberFormat="1" applyFont="1" applyFill="1" applyAlignment="1">
      <alignment vertical="top"/>
    </xf>
    <xf numFmtId="167" fontId="33" fillId="6" borderId="0" xfId="2" applyNumberFormat="1" applyFont="1" applyFill="1" applyAlignment="1">
      <alignment vertical="top"/>
    </xf>
    <xf numFmtId="0" fontId="30" fillId="0" borderId="0" xfId="0" applyFont="1" applyAlignment="1">
      <alignment vertical="top" wrapText="1"/>
    </xf>
    <xf numFmtId="165" fontId="26" fillId="6" borderId="0" xfId="1" applyNumberFormat="1" applyFont="1" applyFill="1" applyBorder="1" applyAlignment="1">
      <alignment horizontal="right" vertical="top"/>
    </xf>
    <xf numFmtId="165" fontId="25" fillId="6" borderId="0" xfId="1" applyNumberFormat="1" applyFont="1" applyFill="1" applyAlignment="1">
      <alignment vertical="top"/>
    </xf>
    <xf numFmtId="165" fontId="25" fillId="6" borderId="0" xfId="1" applyNumberFormat="1" applyFont="1" applyFill="1" applyAlignment="1">
      <alignment horizontal="right" vertical="top"/>
    </xf>
    <xf numFmtId="165" fontId="26" fillId="6" borderId="6" xfId="1" applyNumberFormat="1" applyFont="1" applyFill="1" applyBorder="1" applyAlignment="1">
      <alignment horizontal="right" vertical="top"/>
    </xf>
    <xf numFmtId="165" fontId="26" fillId="6" borderId="7" xfId="1" applyNumberFormat="1" applyFont="1" applyFill="1" applyBorder="1" applyAlignment="1">
      <alignment horizontal="right" vertical="top"/>
    </xf>
    <xf numFmtId="0" fontId="27" fillId="0" borderId="0" xfId="0" applyFont="1" applyAlignment="1">
      <alignment vertical="top"/>
    </xf>
    <xf numFmtId="164" fontId="27" fillId="3" borderId="0" xfId="0" applyNumberFormat="1" applyFont="1" applyFill="1" applyAlignment="1">
      <alignment vertical="top"/>
    </xf>
    <xf numFmtId="165" fontId="27" fillId="3" borderId="0" xfId="1" applyNumberFormat="1" applyFont="1" applyFill="1" applyBorder="1" applyAlignment="1">
      <alignment horizontal="right" vertical="top"/>
    </xf>
    <xf numFmtId="165" fontId="30" fillId="3" borderId="0" xfId="1" applyNumberFormat="1" applyFont="1" applyFill="1" applyBorder="1" applyAlignment="1">
      <alignment horizontal="right" vertical="top"/>
    </xf>
    <xf numFmtId="165" fontId="27" fillId="3" borderId="0" xfId="1" applyNumberFormat="1" applyFont="1" applyFill="1" applyAlignment="1">
      <alignment horizontal="right" vertical="top"/>
    </xf>
    <xf numFmtId="165" fontId="34" fillId="3" borderId="3" xfId="1" applyNumberFormat="1" applyFont="1" applyFill="1" applyBorder="1" applyAlignment="1">
      <alignment horizontal="right" vertical="top"/>
    </xf>
    <xf numFmtId="165" fontId="27" fillId="3" borderId="0" xfId="1" applyNumberFormat="1" applyFont="1" applyFill="1" applyAlignment="1">
      <alignment vertical="top"/>
    </xf>
    <xf numFmtId="165" fontId="27" fillId="3" borderId="1" xfId="1" applyNumberFormat="1" applyFont="1" applyFill="1" applyBorder="1" applyAlignment="1">
      <alignment horizontal="right" vertical="top"/>
    </xf>
    <xf numFmtId="165" fontId="34" fillId="3" borderId="4" xfId="1" applyNumberFormat="1" applyFont="1" applyFill="1" applyBorder="1" applyAlignment="1">
      <alignment horizontal="right" vertical="top"/>
    </xf>
    <xf numFmtId="165" fontId="30" fillId="3" borderId="0" xfId="1" applyNumberFormat="1" applyFont="1" applyFill="1" applyAlignment="1">
      <alignment horizontal="right" vertical="top"/>
    </xf>
    <xf numFmtId="165" fontId="34" fillId="3" borderId="0" xfId="1" applyNumberFormat="1" applyFont="1" applyFill="1" applyBorder="1" applyAlignment="1">
      <alignment horizontal="right" vertical="top"/>
    </xf>
    <xf numFmtId="165" fontId="34" fillId="3" borderId="6" xfId="1" applyNumberFormat="1" applyFont="1" applyFill="1" applyBorder="1" applyAlignment="1">
      <alignment horizontal="right" vertical="top"/>
    </xf>
    <xf numFmtId="165" fontId="34" fillId="3" borderId="7" xfId="1" applyNumberFormat="1" applyFont="1" applyFill="1" applyBorder="1" applyAlignment="1">
      <alignment horizontal="right" vertical="top"/>
    </xf>
    <xf numFmtId="0" fontId="21" fillId="3" borderId="1" xfId="4" applyFont="1" applyFill="1" applyBorder="1" applyAlignment="1">
      <alignment horizontal="center" wrapText="1"/>
    </xf>
    <xf numFmtId="168" fontId="19" fillId="3" borderId="0" xfId="4" applyNumberFormat="1" applyFont="1" applyFill="1" applyAlignment="1">
      <alignment wrapText="1"/>
    </xf>
    <xf numFmtId="168" fontId="19" fillId="3" borderId="0" xfId="4" applyNumberFormat="1" applyFont="1" applyFill="1" applyAlignment="1">
      <alignment horizontal="right" wrapText="1"/>
    </xf>
    <xf numFmtId="169" fontId="20" fillId="3" borderId="9" xfId="4" applyNumberFormat="1" applyFont="1" applyFill="1" applyBorder="1" applyAlignment="1">
      <alignment horizontal="right" wrapText="1"/>
    </xf>
    <xf numFmtId="0" fontId="27" fillId="0" borderId="1" xfId="0" applyFont="1" applyBorder="1" applyAlignment="1">
      <alignment vertical="top" wrapText="1"/>
    </xf>
    <xf numFmtId="164" fontId="34" fillId="0" borderId="2" xfId="0" applyNumberFormat="1" applyFont="1" applyBorder="1" applyAlignment="1">
      <alignment horizontal="center" vertical="top" wrapText="1"/>
    </xf>
    <xf numFmtId="164" fontId="26" fillId="0" borderId="0" xfId="0" applyNumberFormat="1" applyFont="1" applyAlignment="1">
      <alignment horizontal="center" vertical="top" wrapText="1"/>
    </xf>
    <xf numFmtId="167" fontId="34" fillId="0" borderId="1" xfId="2" applyNumberFormat="1" applyFont="1" applyBorder="1" applyAlignment="1">
      <alignment vertical="top" wrapText="1"/>
    </xf>
    <xf numFmtId="164" fontId="27" fillId="7" borderId="0" xfId="0" applyNumberFormat="1" applyFont="1" applyFill="1" applyAlignment="1">
      <alignment vertical="top"/>
    </xf>
    <xf numFmtId="165" fontId="27" fillId="7" borderId="0" xfId="1" applyNumberFormat="1" applyFont="1" applyFill="1" applyBorder="1" applyAlignment="1">
      <alignment horizontal="right" vertical="top"/>
    </xf>
    <xf numFmtId="165" fontId="34" fillId="7" borderId="3" xfId="1" applyNumberFormat="1" applyFont="1" applyFill="1" applyBorder="1" applyAlignment="1">
      <alignment horizontal="right" vertical="top"/>
    </xf>
    <xf numFmtId="165" fontId="27" fillId="7" borderId="0" xfId="1" applyNumberFormat="1" applyFont="1" applyFill="1" applyAlignment="1">
      <alignment vertical="top"/>
    </xf>
    <xf numFmtId="165" fontId="27" fillId="7" borderId="0" xfId="1" applyNumberFormat="1" applyFont="1" applyFill="1" applyAlignment="1">
      <alignment horizontal="right" vertical="top"/>
    </xf>
    <xf numFmtId="165" fontId="34" fillId="7" borderId="4" xfId="1" applyNumberFormat="1" applyFont="1" applyFill="1" applyBorder="1" applyAlignment="1">
      <alignment horizontal="right" vertical="top"/>
    </xf>
    <xf numFmtId="165" fontId="34" fillId="7" borderId="0" xfId="1" applyNumberFormat="1" applyFont="1" applyFill="1" applyBorder="1" applyAlignment="1">
      <alignment horizontal="right" vertical="top"/>
    </xf>
    <xf numFmtId="165" fontId="34" fillId="7" borderId="6" xfId="1" applyNumberFormat="1" applyFont="1" applyFill="1" applyBorder="1" applyAlignment="1">
      <alignment horizontal="right" vertical="top"/>
    </xf>
    <xf numFmtId="165" fontId="34" fillId="7" borderId="7" xfId="1" applyNumberFormat="1" applyFont="1" applyFill="1" applyBorder="1" applyAlignment="1">
      <alignment horizontal="right" vertical="top"/>
    </xf>
    <xf numFmtId="165" fontId="30" fillId="7" borderId="0" xfId="1" applyNumberFormat="1" applyFont="1" applyFill="1" applyAlignment="1">
      <alignment horizontal="right" vertical="top"/>
    </xf>
    <xf numFmtId="165" fontId="27" fillId="7" borderId="1" xfId="1" applyNumberFormat="1" applyFont="1" applyFill="1" applyBorder="1" applyAlignment="1">
      <alignment horizontal="right" vertical="top"/>
    </xf>
    <xf numFmtId="164" fontId="27" fillId="8" borderId="0" xfId="0" applyNumberFormat="1" applyFont="1" applyFill="1" applyAlignment="1">
      <alignment vertical="top"/>
    </xf>
    <xf numFmtId="165" fontId="27" fillId="8" borderId="0" xfId="1" applyNumberFormat="1" applyFont="1" applyFill="1" applyBorder="1" applyAlignment="1">
      <alignment horizontal="right" vertical="top"/>
    </xf>
    <xf numFmtId="165" fontId="34" fillId="8" borderId="3" xfId="1" applyNumberFormat="1" applyFont="1" applyFill="1" applyBorder="1" applyAlignment="1">
      <alignment horizontal="right" vertical="top"/>
    </xf>
    <xf numFmtId="165" fontId="27" fillId="8" borderId="0" xfId="1" applyNumberFormat="1" applyFont="1" applyFill="1" applyAlignment="1">
      <alignment vertical="top"/>
    </xf>
    <xf numFmtId="165" fontId="27" fillId="8" borderId="0" xfId="1" applyNumberFormat="1" applyFont="1" applyFill="1" applyAlignment="1">
      <alignment horizontal="right" vertical="top"/>
    </xf>
    <xf numFmtId="165" fontId="34" fillId="8" borderId="4" xfId="1" applyNumberFormat="1" applyFont="1" applyFill="1" applyBorder="1" applyAlignment="1">
      <alignment horizontal="right" vertical="top"/>
    </xf>
    <xf numFmtId="165" fontId="34" fillId="8" borderId="0" xfId="1" applyNumberFormat="1" applyFont="1" applyFill="1" applyBorder="1" applyAlignment="1">
      <alignment horizontal="right" vertical="top"/>
    </xf>
    <xf numFmtId="165" fontId="34" fillId="8" borderId="6" xfId="1" applyNumberFormat="1" applyFont="1" applyFill="1" applyBorder="1" applyAlignment="1">
      <alignment horizontal="right" vertical="top"/>
    </xf>
    <xf numFmtId="165" fontId="34" fillId="8" borderId="7" xfId="1" applyNumberFormat="1" applyFont="1" applyFill="1" applyBorder="1" applyAlignment="1">
      <alignment horizontal="right" vertical="top"/>
    </xf>
    <xf numFmtId="165" fontId="27" fillId="8" borderId="1" xfId="1" applyNumberFormat="1" applyFont="1" applyFill="1" applyBorder="1" applyAlignment="1">
      <alignment horizontal="right" vertical="top"/>
    </xf>
    <xf numFmtId="0" fontId="34" fillId="0" borderId="0" xfId="0" applyFont="1" applyAlignment="1">
      <alignment horizontal="left" vertical="top" wrapText="1"/>
    </xf>
    <xf numFmtId="4" fontId="27" fillId="0" borderId="0" xfId="0" applyNumberFormat="1" applyFont="1" applyAlignment="1">
      <alignment horizontal="left" vertical="top" wrapText="1"/>
    </xf>
    <xf numFmtId="4" fontId="30" fillId="0" borderId="0" xfId="0" applyNumberFormat="1" applyFont="1" applyAlignment="1">
      <alignment horizontal="left" vertical="top" wrapText="1"/>
    </xf>
    <xf numFmtId="0" fontId="27" fillId="0" borderId="0" xfId="0" applyFont="1" applyAlignment="1">
      <alignment horizontal="left" vertical="top" wrapText="1"/>
    </xf>
    <xf numFmtId="4" fontId="34" fillId="0" borderId="3" xfId="0" applyNumberFormat="1" applyFont="1" applyBorder="1" applyAlignment="1">
      <alignment horizontal="left" vertical="top" wrapText="1"/>
    </xf>
    <xf numFmtId="0" fontId="27" fillId="0" borderId="1" xfId="0" applyFont="1" applyBorder="1" applyAlignment="1">
      <alignment horizontal="left" vertical="top" wrapText="1"/>
    </xf>
    <xf numFmtId="4" fontId="34" fillId="0" borderId="0" xfId="0" applyNumberFormat="1" applyFont="1" applyAlignment="1">
      <alignment horizontal="left" vertical="top" wrapText="1"/>
    </xf>
    <xf numFmtId="0" fontId="30" fillId="0" borderId="0" xfId="0" applyFont="1" applyAlignment="1">
      <alignment horizontal="left" vertical="top" wrapText="1"/>
    </xf>
    <xf numFmtId="4" fontId="34" fillId="0" borderId="5" xfId="0" applyNumberFormat="1" applyFont="1" applyBorder="1" applyAlignment="1">
      <alignment horizontal="left" vertical="top" wrapText="1"/>
    </xf>
    <xf numFmtId="4" fontId="27" fillId="0" borderId="1" xfId="0" applyNumberFormat="1" applyFont="1" applyBorder="1" applyAlignment="1">
      <alignment horizontal="left" vertical="top" wrapText="1"/>
    </xf>
    <xf numFmtId="4" fontId="34" fillId="0" borderId="1" xfId="0" applyNumberFormat="1" applyFont="1" applyBorder="1" applyAlignment="1">
      <alignment horizontal="left" vertical="top" wrapText="1"/>
    </xf>
    <xf numFmtId="9" fontId="27" fillId="0" borderId="0" xfId="3" applyFont="1" applyAlignment="1">
      <alignment vertical="top"/>
    </xf>
    <xf numFmtId="0" fontId="20" fillId="0" borderId="0" xfId="4" applyFont="1" applyAlignment="1">
      <alignment horizontal="left"/>
    </xf>
    <xf numFmtId="0" fontId="6" fillId="0" borderId="0" xfId="0" applyFont="1"/>
    <xf numFmtId="0" fontId="19" fillId="0" borderId="0" xfId="4" applyFont="1" applyAlignment="1">
      <alignment horizontal="center"/>
    </xf>
    <xf numFmtId="0" fontId="18" fillId="0" borderId="0" xfId="4"/>
    <xf numFmtId="0" fontId="23" fillId="0" borderId="0" xfId="4" applyFont="1" applyAlignment="1">
      <alignment horizontal="center"/>
    </xf>
    <xf numFmtId="0" fontId="22" fillId="0" borderId="0" xfId="4" applyFont="1" applyAlignment="1">
      <alignment horizontal="center"/>
    </xf>
  </cellXfs>
  <cellStyles count="5">
    <cellStyle name="Comma" xfId="1" builtinId="3"/>
    <cellStyle name="Currency" xfId="2" builtinId="4"/>
    <cellStyle name="Normal" xfId="0" builtinId="0"/>
    <cellStyle name="Normal 2" xfId="4" xr:uid="{ED33DADC-B828-467D-82DE-D4047EFAA90D}"/>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u="sng">
                <a:solidFill>
                  <a:schemeClr val="tx1"/>
                </a:solidFill>
              </a:rPr>
              <a:t>23/24 INCOME</a:t>
            </a:r>
            <a:r>
              <a:rPr lang="en-US" b="1" u="sng" baseline="0">
                <a:solidFill>
                  <a:schemeClr val="tx1"/>
                </a:solidFill>
              </a:rPr>
              <a:t> BUDGET</a:t>
            </a:r>
            <a:endParaRPr lang="en-US" b="1" u="sng">
              <a:solidFill>
                <a:schemeClr val="tx1"/>
              </a:solidFill>
            </a:endParaRPr>
          </a:p>
        </c:rich>
      </c:tx>
      <c:layout>
        <c:manualLayout>
          <c:xMode val="edge"/>
          <c:yMode val="edge"/>
          <c:x val="2.7860208088125723E-2"/>
          <c:y val="4.39560540984809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effectLst>
              <a:outerShdw blurRad="50800" dist="19050" dir="5400000" algn="ctr" rotWithShape="0">
                <a:schemeClr val="tx1"/>
              </a:outerShdw>
            </a:effectLst>
            <a:scene3d>
              <a:camera prst="orthographicFront"/>
              <a:lightRig rig="threePt" dir="t">
                <a:rot lat="0" lon="0" rev="1200000"/>
              </a:lightRig>
            </a:scene3d>
            <a:sp3d>
              <a:bevelT w="63500" h="25400"/>
            </a:sp3d>
          </c:spPr>
          <c:dPt>
            <c:idx val="0"/>
            <c:bubble3D val="0"/>
            <c:spPr>
              <a:solidFill>
                <a:schemeClr val="accent1"/>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3-ECF7-4A3D-9B33-03439A5F579A}"/>
              </c:ext>
            </c:extLst>
          </c:dPt>
          <c:dPt>
            <c:idx val="1"/>
            <c:bubble3D val="0"/>
            <c:spPr>
              <a:solidFill>
                <a:schemeClr val="accent2"/>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3-5314-4387-BB0E-32F6DA2A3090}"/>
              </c:ext>
            </c:extLst>
          </c:dPt>
          <c:dPt>
            <c:idx val="2"/>
            <c:bubble3D val="0"/>
            <c:spPr>
              <a:solidFill>
                <a:schemeClr val="accent3"/>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5-5314-4387-BB0E-32F6DA2A3090}"/>
              </c:ext>
            </c:extLst>
          </c:dPt>
          <c:dPt>
            <c:idx val="3"/>
            <c:bubble3D val="0"/>
            <c:spPr>
              <a:solidFill>
                <a:schemeClr val="accent4"/>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4-ECF7-4A3D-9B33-03439A5F579A}"/>
              </c:ext>
            </c:extLst>
          </c:dPt>
          <c:dPt>
            <c:idx val="4"/>
            <c:bubble3D val="0"/>
            <c:spPr>
              <a:solidFill>
                <a:schemeClr val="accent5"/>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9-5314-4387-BB0E-32F6DA2A3090}"/>
              </c:ext>
            </c:extLst>
          </c:dPt>
          <c:dPt>
            <c:idx val="5"/>
            <c:bubble3D val="0"/>
            <c:spPr>
              <a:solidFill>
                <a:schemeClr val="accent6"/>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5-ECF7-4A3D-9B33-03439A5F579A}"/>
              </c:ext>
            </c:extLst>
          </c:dPt>
          <c:dPt>
            <c:idx val="6"/>
            <c:bubble3D val="0"/>
            <c:spPr>
              <a:solidFill>
                <a:schemeClr val="accent1">
                  <a:lumMod val="60000"/>
                </a:schemeClr>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6-ECF7-4A3D-9B33-03439A5F579A}"/>
              </c:ext>
            </c:extLst>
          </c:dPt>
          <c:dPt>
            <c:idx val="7"/>
            <c:bubble3D val="0"/>
            <c:spPr>
              <a:solidFill>
                <a:schemeClr val="accent2">
                  <a:lumMod val="60000"/>
                </a:schemeClr>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F-5314-4387-BB0E-32F6DA2A3090}"/>
              </c:ext>
            </c:extLst>
          </c:dPt>
          <c:dPt>
            <c:idx val="8"/>
            <c:bubble3D val="0"/>
            <c:spPr>
              <a:solidFill>
                <a:schemeClr val="accent3">
                  <a:lumMod val="60000"/>
                </a:schemeClr>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7-ECF7-4A3D-9B33-03439A5F579A}"/>
              </c:ext>
            </c:extLst>
          </c:dPt>
          <c:dPt>
            <c:idx val="9"/>
            <c:bubble3D val="0"/>
            <c:spPr>
              <a:solidFill>
                <a:schemeClr val="accent4">
                  <a:lumMod val="60000"/>
                </a:schemeClr>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13-5314-4387-BB0E-32F6DA2A3090}"/>
              </c:ext>
            </c:extLst>
          </c:dPt>
          <c:dPt>
            <c:idx val="10"/>
            <c:bubble3D val="0"/>
            <c:spPr>
              <a:solidFill>
                <a:schemeClr val="accent5">
                  <a:lumMod val="60000"/>
                </a:schemeClr>
              </a:solidFill>
              <a:ln w="19050">
                <a:solidFill>
                  <a:schemeClr val="lt1"/>
                </a:solidFill>
              </a:ln>
              <a:effectLst>
                <a:outerShdw blurRad="50800" dist="19050" dir="5400000" algn="ctr" rotWithShape="0">
                  <a:schemeClr val="tx1"/>
                </a:outerShdw>
              </a:effectLst>
              <a:scene3d>
                <a:camera prst="orthographicFront"/>
                <a:lightRig rig="threePt" dir="t">
                  <a:rot lat="0" lon="0" rev="1200000"/>
                </a:lightRig>
              </a:scene3d>
              <a:sp3d>
                <a:bevelT w="63500" h="25400"/>
              </a:sp3d>
            </c:spPr>
            <c:extLst>
              <c:ext xmlns:c16="http://schemas.microsoft.com/office/drawing/2014/chart" uri="{C3380CC4-5D6E-409C-BE32-E72D297353CC}">
                <c16:uniqueId val="{00000001-ECF7-4A3D-9B33-03439A5F579A}"/>
              </c:ext>
            </c:extLst>
          </c:dPt>
          <c:dLbls>
            <c:dLbl>
              <c:idx val="0"/>
              <c:layout>
                <c:manualLayout>
                  <c:x val="0.20778106327724657"/>
                  <c:y val="-4.395605409848094E-2"/>
                </c:manualLayout>
              </c:layout>
              <c:dLblPos val="bestFit"/>
              <c:showLegendKey val="0"/>
              <c:showVal val="1"/>
              <c:showCatName val="1"/>
              <c:showSerName val="0"/>
              <c:showPercent val="0"/>
              <c:showBubbleSize val="0"/>
              <c:extLst>
                <c:ext xmlns:c15="http://schemas.microsoft.com/office/drawing/2012/chart" uri="{CE6537A1-D6FC-4f65-9D91-7224C49458BB}">
                  <c15:layout>
                    <c:manualLayout>
                      <c:w val="0.21189505066336314"/>
                      <c:h val="6.1630546955624352E-2"/>
                    </c:manualLayout>
                  </c15:layout>
                </c:ext>
                <c:ext xmlns:c16="http://schemas.microsoft.com/office/drawing/2014/chart" uri="{C3380CC4-5D6E-409C-BE32-E72D297353CC}">
                  <c16:uniqueId val="{00000003-ECF7-4A3D-9B33-03439A5F579A}"/>
                </c:ext>
              </c:extLst>
            </c:dLbl>
            <c:dLbl>
              <c:idx val="2"/>
              <c:layout>
                <c:manualLayout>
                  <c:x val="5.8709926612591737E-2"/>
                  <c:y val="2.3443228852523142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314-4387-BB0E-32F6DA2A3090}"/>
                </c:ext>
              </c:extLst>
            </c:dLbl>
            <c:dLbl>
              <c:idx val="4"/>
              <c:layout>
                <c:manualLayout>
                  <c:x val="-6.0254924681344163E-2"/>
                  <c:y val="0.13186816229544271"/>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314-4387-BB0E-32F6DA2A3090}"/>
                </c:ext>
              </c:extLst>
            </c:dLbl>
            <c:dLbl>
              <c:idx val="5"/>
              <c:layout>
                <c:manualLayout>
                  <c:x val="-7.4159907300115901E-2"/>
                  <c:y val="3.5164843278784698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CF7-4A3D-9B33-03439A5F579A}"/>
                </c:ext>
              </c:extLst>
            </c:dLbl>
            <c:dLbl>
              <c:idx val="7"/>
              <c:layout>
                <c:manualLayout>
                  <c:x val="-4.0169949787562782E-2"/>
                  <c:y val="-6.4468879344438748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314-4387-BB0E-32F6DA2A3090}"/>
                </c:ext>
              </c:extLst>
            </c:dLbl>
            <c:dLbl>
              <c:idx val="10"/>
              <c:layout>
                <c:manualLayout>
                  <c:x val="-0.12977983777520277"/>
                  <c:y val="-5.5677668524742527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CF7-4A3D-9B33-03439A5F579A}"/>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Income!$A$3:$A$14</c15:sqref>
                  </c15:fullRef>
                </c:ext>
              </c:extLst>
              <c:f>(Income!$A$3,Income!$A$5:$A$14)</c:f>
              <c:strCache>
                <c:ptCount val="11"/>
                <c:pt idx="0">
                  <c:v>   5th Grade Send Off (Income)</c:v>
                </c:pt>
                <c:pt idx="1">
                  <c:v>   BottleDrop</c:v>
                </c:pt>
                <c:pt idx="2">
                  <c:v>   Box Tops (Income)</c:v>
                </c:pt>
                <c:pt idx="3">
                  <c:v>   Fun Run (Income)</c:v>
                </c:pt>
                <c:pt idx="4">
                  <c:v>   Member/Misc (Donations)</c:v>
                </c:pt>
                <c:pt idx="5">
                  <c:v>   Music &amp; School Concert Fundraising</c:v>
                </c:pt>
                <c:pt idx="6">
                  <c:v>   Restaurant / Retail Fundraisers</c:v>
                </c:pt>
                <c:pt idx="7">
                  <c:v>   Rewards Programs (Donations)</c:v>
                </c:pt>
                <c:pt idx="8">
                  <c:v>   School Supplies (Income)</c:v>
                </c:pt>
                <c:pt idx="9">
                  <c:v>Science Expo</c:v>
                </c:pt>
                <c:pt idx="10">
                  <c:v>   Staff Appreciation Donations</c:v>
                </c:pt>
              </c:strCache>
            </c:strRef>
          </c:cat>
          <c:val>
            <c:numRef>
              <c:extLst>
                <c:ext xmlns:c15="http://schemas.microsoft.com/office/drawing/2012/chart" uri="{02D57815-91ED-43cb-92C2-25804820EDAC}">
                  <c15:fullRef>
                    <c15:sqref>Income!$B$3:$B$14</c15:sqref>
                  </c15:fullRef>
                </c:ext>
              </c:extLst>
              <c:f>(Income!$B$3,Income!$B$5:$B$14)</c:f>
              <c:numCache>
                <c:formatCode>_("$"* #,##0_);_("$"* \(#,##0\);_("$"* "-"??_);_(@_)</c:formatCode>
                <c:ptCount val="11"/>
                <c:pt idx="0">
                  <c:v>200</c:v>
                </c:pt>
                <c:pt idx="1">
                  <c:v>2200</c:v>
                </c:pt>
                <c:pt idx="2">
                  <c:v>50</c:v>
                </c:pt>
                <c:pt idx="3">
                  <c:v>25000</c:v>
                </c:pt>
                <c:pt idx="4">
                  <c:v>2000</c:v>
                </c:pt>
                <c:pt idx="5">
                  <c:v>200</c:v>
                </c:pt>
                <c:pt idx="6">
                  <c:v>750</c:v>
                </c:pt>
                <c:pt idx="7">
                  <c:v>450</c:v>
                </c:pt>
                <c:pt idx="8">
                  <c:v>7000</c:v>
                </c:pt>
                <c:pt idx="9">
                  <c:v>500</c:v>
                </c:pt>
                <c:pt idx="10">
                  <c:v>300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0-ECF7-4A3D-9B33-03439A5F579A}"/>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2.3945766918185063E-2"/>
          <c:y val="0.83882641719625439"/>
          <c:w val="0.95828845843863952"/>
          <c:h val="0.1435911611643531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a:outerShdw blurRad="50800" dist="19050" dir="5400000" algn="ctr" rotWithShape="0">
        <a:schemeClr val="tx1"/>
      </a:outerShdw>
    </a:effectLst>
  </c:spPr>
  <c:txPr>
    <a:bodyPr/>
    <a:lstStyle/>
    <a:p>
      <a:pPr>
        <a:defRPr/>
      </a:pPr>
      <a:endParaRPr lang="en-US"/>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u="sng">
                <a:solidFill>
                  <a:schemeClr val="tx1"/>
                </a:solidFill>
              </a:rPr>
              <a:t>23/24 Proposed</a:t>
            </a:r>
            <a:r>
              <a:rPr lang="en-US" b="1" u="sng" baseline="0">
                <a:solidFill>
                  <a:schemeClr val="tx1"/>
                </a:solidFill>
              </a:rPr>
              <a:t> Spending</a:t>
            </a:r>
            <a:endParaRPr lang="en-US" b="1" u="sng">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spPr>
            <a:effectLst>
              <a:outerShdw blurRad="50800" dist="50800" dir="5400000" algn="ctr" rotWithShape="0">
                <a:schemeClr val="tx1"/>
              </a:outerShdw>
            </a:effectLst>
            <a:scene3d>
              <a:camera prst="orthographicFront"/>
              <a:lightRig rig="threePt" dir="t"/>
            </a:scene3d>
            <a:sp3d>
              <a:bevelT w="63500" h="25400"/>
            </a:sp3d>
          </c:spPr>
          <c:dPt>
            <c:idx val="0"/>
            <c:bubble3D val="0"/>
            <c:spPr>
              <a:solidFill>
                <a:schemeClr val="accent1"/>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1-A312-462B-A06B-5125E550E42A}"/>
              </c:ext>
            </c:extLst>
          </c:dPt>
          <c:dPt>
            <c:idx val="1"/>
            <c:bubble3D val="0"/>
            <c:spPr>
              <a:solidFill>
                <a:schemeClr val="accent2"/>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4-5A86-47DC-BB13-3FFC670926F5}"/>
              </c:ext>
            </c:extLst>
          </c:dPt>
          <c:dPt>
            <c:idx val="2"/>
            <c:bubble3D val="0"/>
            <c:spPr>
              <a:solidFill>
                <a:schemeClr val="accent3"/>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5-A312-462B-A06B-5125E550E42A}"/>
              </c:ext>
            </c:extLst>
          </c:dPt>
          <c:dPt>
            <c:idx val="3"/>
            <c:bubble3D val="0"/>
            <c:spPr>
              <a:solidFill>
                <a:schemeClr val="accent4"/>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7-A312-462B-A06B-5125E550E42A}"/>
              </c:ext>
            </c:extLst>
          </c:dPt>
          <c:dPt>
            <c:idx val="4"/>
            <c:bubble3D val="0"/>
            <c:spPr>
              <a:solidFill>
                <a:schemeClr val="accent5"/>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9-A312-462B-A06B-5125E550E42A}"/>
              </c:ext>
            </c:extLst>
          </c:dPt>
          <c:dPt>
            <c:idx val="5"/>
            <c:bubble3D val="0"/>
            <c:spPr>
              <a:solidFill>
                <a:schemeClr val="accent6"/>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B-A312-462B-A06B-5125E550E42A}"/>
              </c:ext>
            </c:extLst>
          </c:dPt>
          <c:dPt>
            <c:idx val="6"/>
            <c:bubble3D val="0"/>
            <c:spPr>
              <a:solidFill>
                <a:schemeClr val="accent1">
                  <a:lumMod val="60000"/>
                </a:schemeClr>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D-A312-462B-A06B-5125E550E42A}"/>
              </c:ext>
            </c:extLst>
          </c:dPt>
          <c:dPt>
            <c:idx val="7"/>
            <c:bubble3D val="0"/>
            <c:spPr>
              <a:solidFill>
                <a:schemeClr val="accent2">
                  <a:lumMod val="60000"/>
                </a:schemeClr>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F-A312-462B-A06B-5125E550E42A}"/>
              </c:ext>
            </c:extLst>
          </c:dPt>
          <c:dPt>
            <c:idx val="8"/>
            <c:bubble3D val="0"/>
            <c:spPr>
              <a:solidFill>
                <a:schemeClr val="accent3">
                  <a:lumMod val="60000"/>
                </a:schemeClr>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11-A312-462B-A06B-5125E550E42A}"/>
              </c:ext>
            </c:extLst>
          </c:dPt>
          <c:dPt>
            <c:idx val="9"/>
            <c:bubble3D val="0"/>
            <c:spPr>
              <a:solidFill>
                <a:schemeClr val="accent4">
                  <a:lumMod val="60000"/>
                </a:schemeClr>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2-5A86-47DC-BB13-3FFC670926F5}"/>
              </c:ext>
            </c:extLst>
          </c:dPt>
          <c:dPt>
            <c:idx val="10"/>
            <c:bubble3D val="0"/>
            <c:spPr>
              <a:solidFill>
                <a:schemeClr val="accent5">
                  <a:lumMod val="60000"/>
                </a:schemeClr>
              </a:solidFill>
              <a:ln w="19050">
                <a:solidFill>
                  <a:schemeClr val="lt1"/>
                </a:solidFill>
              </a:ln>
              <a:effectLst>
                <a:outerShdw blurRad="50800" dist="50800" dir="5400000" algn="ctr" rotWithShape="0">
                  <a:schemeClr val="tx1"/>
                </a:outerShdw>
              </a:effectLst>
              <a:scene3d>
                <a:camera prst="orthographicFront"/>
                <a:lightRig rig="threePt" dir="t"/>
              </a:scene3d>
              <a:sp3d>
                <a:bevelT w="63500" h="25400"/>
              </a:sp3d>
            </c:spPr>
            <c:extLst>
              <c:ext xmlns:c16="http://schemas.microsoft.com/office/drawing/2014/chart" uri="{C3380CC4-5D6E-409C-BE32-E72D297353CC}">
                <c16:uniqueId val="{00000001-5A86-47DC-BB13-3FFC670926F5}"/>
              </c:ext>
            </c:extLst>
          </c:dPt>
          <c:dLbls>
            <c:dLbl>
              <c:idx val="9"/>
              <c:layout>
                <c:manualLayout>
                  <c:x val="-2.9253271747498075E-2"/>
                  <c:y val="-2.4060150375939858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A86-47DC-BB13-3FFC670926F5}"/>
                </c:ext>
              </c:extLst>
            </c:dLbl>
            <c:dLbl>
              <c:idx val="10"/>
              <c:layout>
                <c:manualLayout>
                  <c:x val="1.6936104695919937E-2"/>
                  <c:y val="-1.8045112781954895E-2"/>
                </c:manualLayout>
              </c:layout>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A86-47DC-BB13-3FFC670926F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Expenses!$F$3:$F$13</c:f>
              <c:strCache>
                <c:ptCount val="11"/>
                <c:pt idx="0">
                  <c:v>Field Trips</c:v>
                </c:pt>
                <c:pt idx="1">
                  <c:v>School Supplies</c:v>
                </c:pt>
                <c:pt idx="2">
                  <c:v>Teacher Supplies</c:v>
                </c:pt>
                <c:pt idx="3">
                  <c:v>Enrichment Programs</c:v>
                </c:pt>
                <c:pt idx="4">
                  <c:v>Fun Run</c:v>
                </c:pt>
                <c:pt idx="5">
                  <c:v>Class Parties</c:v>
                </c:pt>
                <c:pt idx="6">
                  <c:v>Staff Support</c:v>
                </c:pt>
                <c:pt idx="7">
                  <c:v>PTO Admin</c:v>
                </c:pt>
                <c:pt idx="8">
                  <c:v>Assemblies</c:v>
                </c:pt>
                <c:pt idx="9">
                  <c:v>Community Events</c:v>
                </c:pt>
                <c:pt idx="10">
                  <c:v>Other</c:v>
                </c:pt>
              </c:strCache>
            </c:strRef>
          </c:cat>
          <c:val>
            <c:numRef>
              <c:f>Expenses!$G$3:$G$13</c:f>
              <c:numCache>
                <c:formatCode>_("$"* #,##0_);_("$"* \(#,##0\);_("$"* "-"??_);_(@_)</c:formatCode>
                <c:ptCount val="11"/>
                <c:pt idx="0">
                  <c:v>11250</c:v>
                </c:pt>
                <c:pt idx="1">
                  <c:v>7300</c:v>
                </c:pt>
                <c:pt idx="2">
                  <c:v>8500</c:v>
                </c:pt>
                <c:pt idx="3">
                  <c:v>7980</c:v>
                </c:pt>
                <c:pt idx="4">
                  <c:v>5250</c:v>
                </c:pt>
                <c:pt idx="5">
                  <c:v>4050</c:v>
                </c:pt>
                <c:pt idx="6">
                  <c:v>2150</c:v>
                </c:pt>
                <c:pt idx="7">
                  <c:v>1630</c:v>
                </c:pt>
                <c:pt idx="8">
                  <c:v>2000</c:v>
                </c:pt>
                <c:pt idx="9">
                  <c:v>1600</c:v>
                </c:pt>
                <c:pt idx="10">
                  <c:v>1250</c:v>
                </c:pt>
              </c:numCache>
            </c:numRef>
          </c:val>
          <c:extLst>
            <c:ext xmlns:c16="http://schemas.microsoft.com/office/drawing/2014/chart" uri="{C3380CC4-5D6E-409C-BE32-E72D297353CC}">
              <c16:uniqueId val="{00000000-5A86-47DC-BB13-3FFC670926F5}"/>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a:outerShdw blurRad="50800" dist="19050" dir="5400000" algn="ctr" rotWithShape="0">
        <a:schemeClr val="tx1"/>
      </a:outerShdw>
    </a:effectLst>
    <a:scene3d>
      <a:camera prst="orthographicFront"/>
      <a:lightRig rig="threePt" dir="t"/>
    </a:scene3d>
    <a:sp3d>
      <a:bevelT h="57150"/>
      <a:bevelB h="50800"/>
    </a:sp3d>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295275</xdr:colOff>
      <xdr:row>1</xdr:row>
      <xdr:rowOff>28575</xdr:rowOff>
    </xdr:from>
    <xdr:to>
      <xdr:col>10</xdr:col>
      <xdr:colOff>514350</xdr:colOff>
      <xdr:row>33</xdr:row>
      <xdr:rowOff>85725</xdr:rowOff>
    </xdr:to>
    <xdr:graphicFrame macro="">
      <xdr:nvGraphicFramePr>
        <xdr:cNvPr id="3" name="Chart 2">
          <a:extLst>
            <a:ext uri="{FF2B5EF4-FFF2-40B4-BE49-F238E27FC236}">
              <a16:creationId xmlns:a16="http://schemas.microsoft.com/office/drawing/2014/main" id="{9BE91184-161C-1739-8CE0-E096BB3B79E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66675</xdr:colOff>
      <xdr:row>0</xdr:row>
      <xdr:rowOff>152400</xdr:rowOff>
    </xdr:from>
    <xdr:to>
      <xdr:col>4</xdr:col>
      <xdr:colOff>314325</xdr:colOff>
      <xdr:row>32</xdr:row>
      <xdr:rowOff>171450</xdr:rowOff>
    </xdr:to>
    <xdr:graphicFrame macro="">
      <xdr:nvGraphicFramePr>
        <xdr:cNvPr id="3" name="Chart 2">
          <a:extLst>
            <a:ext uri="{FF2B5EF4-FFF2-40B4-BE49-F238E27FC236}">
              <a16:creationId xmlns:a16="http://schemas.microsoft.com/office/drawing/2014/main" id="{F3C65031-B505-9CFB-206B-1CA18E800D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persons/person.xml><?xml version="1.0" encoding="utf-8"?>
<personList xmlns="http://schemas.microsoft.com/office/spreadsheetml/2018/threadedcomments" xmlns:x="http://schemas.openxmlformats.org/spreadsheetml/2006/main">
  <person displayName="blair hamilton" id="{36A61C7D-A459-4289-915F-5A83F24F9377}" userId="bb5e5559508a9574" providerId="Windows Live"/>
</personList>
</file>

<file path=xl/theme/theme1.xml><?xml version="1.0" encoding="utf-8"?>
<a:theme xmlns:a="http://schemas.openxmlformats.org/drawingml/2006/main" name="Office Theme">
  <a:themeElements>
    <a:clrScheme name="Custom 4">
      <a:dk1>
        <a:sysClr val="windowText" lastClr="000000"/>
      </a:dk1>
      <a:lt1>
        <a:sysClr val="window" lastClr="FFFFFF"/>
      </a:lt1>
      <a:dk2>
        <a:srgbClr val="1F497D"/>
      </a:dk2>
      <a:lt2>
        <a:srgbClr val="EEECE1"/>
      </a:lt2>
      <a:accent1>
        <a:srgbClr val="FF0000"/>
      </a:accent1>
      <a:accent2>
        <a:srgbClr val="FFC000"/>
      </a:accent2>
      <a:accent3>
        <a:srgbClr val="FFFE99"/>
      </a:accent3>
      <a:accent4>
        <a:srgbClr val="00B050"/>
      </a:accent4>
      <a:accent5>
        <a:srgbClr val="6565FF"/>
      </a:accent5>
      <a:accent6>
        <a:srgbClr val="FE19FF"/>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42" dT="2022-09-06T18:59:04.53" personId="{36A61C7D-A459-4289-915F-5A83F24F9377}" id="{E171DD3B-09BE-4428-93E5-5366A2E29C03}">
    <text>Bus from last years trip</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4" Type="http://schemas.microsoft.com/office/2017/10/relationships/threadedComment" Target="../threadedComments/threadedComment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B5831-7617-4148-8BC8-290C5A5AB578}">
  <sheetPr>
    <pageSetUpPr fitToPage="1"/>
  </sheetPr>
  <dimension ref="A2:J92"/>
  <sheetViews>
    <sheetView workbookViewId="0">
      <selection activeCell="C92" sqref="C92"/>
    </sheetView>
  </sheetViews>
  <sheetFormatPr defaultRowHeight="15.75" x14ac:dyDescent="0.25"/>
  <cols>
    <col min="1" max="1" width="43.42578125" style="101" customWidth="1"/>
    <col min="2" max="2" width="8.7109375" style="129" bestFit="1" customWidth="1"/>
    <col min="3" max="3" width="9.85546875" style="129" bestFit="1" customWidth="1"/>
    <col min="4" max="4" width="9.42578125" style="129" bestFit="1" customWidth="1"/>
    <col min="5" max="5" width="4.28515625" style="129" customWidth="1"/>
    <col min="6" max="6" width="10.85546875" style="100" bestFit="1" customWidth="1"/>
    <col min="7" max="7" width="56.42578125" style="101" customWidth="1"/>
  </cols>
  <sheetData>
    <row r="2" spans="1:7" s="98" customFormat="1" ht="47.25" x14ac:dyDescent="0.25">
      <c r="A2" s="146"/>
      <c r="B2" s="147" t="s">
        <v>325</v>
      </c>
      <c r="C2" s="147" t="s">
        <v>326</v>
      </c>
      <c r="D2" s="147" t="s">
        <v>329</v>
      </c>
      <c r="E2" s="148"/>
      <c r="F2" s="149" t="s">
        <v>330</v>
      </c>
      <c r="G2" s="101"/>
    </row>
    <row r="3" spans="1:7" x14ac:dyDescent="0.25">
      <c r="A3" s="171" t="s">
        <v>13</v>
      </c>
      <c r="B3" s="130"/>
      <c r="C3" s="161"/>
      <c r="D3" s="150"/>
      <c r="E3" s="102"/>
      <c r="F3" s="103"/>
    </row>
    <row r="4" spans="1:7" ht="63" x14ac:dyDescent="0.25">
      <c r="A4" s="172" t="s">
        <v>14</v>
      </c>
      <c r="B4" s="131">
        <v>407</v>
      </c>
      <c r="C4" s="162">
        <f>B4</f>
        <v>407</v>
      </c>
      <c r="D4" s="151"/>
      <c r="E4" s="104"/>
      <c r="F4" s="105">
        <v>200</v>
      </c>
      <c r="G4" s="101" t="s">
        <v>277</v>
      </c>
    </row>
    <row r="5" spans="1:7" ht="31.5" x14ac:dyDescent="0.25">
      <c r="A5" s="172" t="s">
        <v>15</v>
      </c>
      <c r="B5" s="131">
        <v>2903.85</v>
      </c>
      <c r="C5" s="162">
        <f t="shared" ref="C5:C18" si="0">B5</f>
        <v>2903.85</v>
      </c>
      <c r="D5" s="154">
        <v>4000</v>
      </c>
      <c r="E5" s="106"/>
      <c r="F5" s="103">
        <v>3000</v>
      </c>
      <c r="G5" s="101" t="s">
        <v>278</v>
      </c>
    </row>
    <row r="6" spans="1:7" x14ac:dyDescent="0.25">
      <c r="A6" s="172" t="s">
        <v>16</v>
      </c>
      <c r="B6" s="131">
        <v>2600</v>
      </c>
      <c r="C6" s="162">
        <v>3000</v>
      </c>
      <c r="D6" s="154">
        <v>2000</v>
      </c>
      <c r="E6" s="107"/>
      <c r="F6" s="105">
        <v>2200</v>
      </c>
      <c r="G6" s="101" t="s">
        <v>327</v>
      </c>
    </row>
    <row r="7" spans="1:7" x14ac:dyDescent="0.25">
      <c r="A7" s="172" t="s">
        <v>17</v>
      </c>
      <c r="B7" s="131">
        <v>124.9</v>
      </c>
      <c r="C7" s="162">
        <f t="shared" si="0"/>
        <v>124.9</v>
      </c>
      <c r="D7" s="154">
        <v>0</v>
      </c>
      <c r="E7" s="106"/>
      <c r="F7" s="105">
        <v>50</v>
      </c>
      <c r="G7" s="101" t="s">
        <v>283</v>
      </c>
    </row>
    <row r="8" spans="1:7" s="70" customFormat="1" ht="31.5" x14ac:dyDescent="0.25">
      <c r="A8" s="173" t="s">
        <v>18</v>
      </c>
      <c r="B8" s="132">
        <v>0</v>
      </c>
      <c r="C8" s="162">
        <f t="shared" si="0"/>
        <v>0</v>
      </c>
      <c r="D8" s="159">
        <v>2000</v>
      </c>
      <c r="E8" s="108"/>
      <c r="F8" s="109"/>
      <c r="G8" s="101" t="s">
        <v>279</v>
      </c>
    </row>
    <row r="9" spans="1:7" x14ac:dyDescent="0.25">
      <c r="A9" s="172" t="s">
        <v>98</v>
      </c>
      <c r="B9" s="131"/>
      <c r="C9" s="162">
        <f t="shared" si="0"/>
        <v>0</v>
      </c>
      <c r="D9" s="154">
        <v>1000</v>
      </c>
      <c r="E9" s="107"/>
      <c r="F9" s="105">
        <v>0</v>
      </c>
      <c r="G9" s="101" t="s">
        <v>292</v>
      </c>
    </row>
    <row r="10" spans="1:7" x14ac:dyDescent="0.25">
      <c r="A10" s="172" t="s">
        <v>20</v>
      </c>
      <c r="B10" s="131">
        <v>28621.07</v>
      </c>
      <c r="C10" s="162">
        <f t="shared" si="0"/>
        <v>28621.07</v>
      </c>
      <c r="D10" s="154">
        <v>25000</v>
      </c>
      <c r="E10" s="106"/>
      <c r="F10" s="103">
        <v>25000</v>
      </c>
      <c r="G10" s="101" t="s">
        <v>280</v>
      </c>
    </row>
    <row r="11" spans="1:7" ht="31.5" x14ac:dyDescent="0.25">
      <c r="A11" s="172" t="s">
        <v>21</v>
      </c>
      <c r="B11" s="131">
        <v>2350.66</v>
      </c>
      <c r="C11" s="162">
        <f t="shared" si="0"/>
        <v>2350.66</v>
      </c>
      <c r="D11" s="154">
        <v>2000</v>
      </c>
      <c r="E11" s="106"/>
      <c r="F11" s="103">
        <v>2000</v>
      </c>
      <c r="G11" s="101" t="s">
        <v>280</v>
      </c>
    </row>
    <row r="12" spans="1:7" x14ac:dyDescent="0.25">
      <c r="A12" s="172" t="s">
        <v>22</v>
      </c>
      <c r="B12" s="131">
        <v>249.55</v>
      </c>
      <c r="C12" s="162">
        <f>450</f>
        <v>450</v>
      </c>
      <c r="D12" s="154">
        <v>0</v>
      </c>
      <c r="E12" s="106"/>
      <c r="F12" s="103">
        <v>200</v>
      </c>
      <c r="G12" s="101" t="s">
        <v>281</v>
      </c>
    </row>
    <row r="13" spans="1:7" ht="47.25" x14ac:dyDescent="0.25">
      <c r="A13" s="172" t="s">
        <v>291</v>
      </c>
      <c r="B13" s="131">
        <f>847.11+1711+143.28</f>
        <v>2701.3900000000003</v>
      </c>
      <c r="C13" s="162">
        <v>2850</v>
      </c>
      <c r="D13" s="154">
        <v>500</v>
      </c>
      <c r="E13" s="107"/>
      <c r="F13" s="105">
        <v>750</v>
      </c>
      <c r="G13" s="101" t="s">
        <v>293</v>
      </c>
    </row>
    <row r="14" spans="1:7" ht="31.5" x14ac:dyDescent="0.25">
      <c r="A14" s="174" t="s">
        <v>24</v>
      </c>
      <c r="B14" s="131">
        <v>965.52</v>
      </c>
      <c r="C14" s="162">
        <f t="shared" si="0"/>
        <v>965.52</v>
      </c>
      <c r="D14" s="154">
        <v>800</v>
      </c>
      <c r="E14" s="107"/>
      <c r="F14" s="105">
        <v>450</v>
      </c>
      <c r="G14" s="101" t="s">
        <v>282</v>
      </c>
    </row>
    <row r="15" spans="1:7" x14ac:dyDescent="0.25">
      <c r="A15" s="172" t="s">
        <v>25</v>
      </c>
      <c r="B15" s="131">
        <v>7369.83</v>
      </c>
      <c r="C15" s="162">
        <f t="shared" si="0"/>
        <v>7369.83</v>
      </c>
      <c r="D15" s="154">
        <v>7000</v>
      </c>
      <c r="E15" s="106"/>
      <c r="F15" s="103">
        <v>7000</v>
      </c>
      <c r="G15" s="101" t="s">
        <v>280</v>
      </c>
    </row>
    <row r="16" spans="1:7" x14ac:dyDescent="0.25">
      <c r="A16" s="172" t="s">
        <v>26</v>
      </c>
      <c r="B16" s="131">
        <v>0</v>
      </c>
      <c r="C16" s="162">
        <v>400</v>
      </c>
      <c r="D16" s="154">
        <v>500</v>
      </c>
      <c r="E16" s="106"/>
      <c r="F16" s="103">
        <v>500</v>
      </c>
      <c r="G16" s="101" t="s">
        <v>318</v>
      </c>
    </row>
    <row r="17" spans="1:7" x14ac:dyDescent="0.25">
      <c r="A17" s="172" t="s">
        <v>27</v>
      </c>
      <c r="B17" s="131">
        <v>226</v>
      </c>
      <c r="C17" s="162">
        <f t="shared" si="0"/>
        <v>226</v>
      </c>
      <c r="D17" s="154">
        <v>1000</v>
      </c>
      <c r="E17" s="107"/>
      <c r="F17" s="105">
        <v>300</v>
      </c>
      <c r="G17" s="101" t="s">
        <v>301</v>
      </c>
    </row>
    <row r="18" spans="1:7" x14ac:dyDescent="0.25">
      <c r="A18" s="172"/>
      <c r="B18" s="133"/>
      <c r="C18" s="162">
        <f t="shared" si="0"/>
        <v>0</v>
      </c>
      <c r="D18" s="154"/>
      <c r="E18" s="104"/>
      <c r="F18" s="103"/>
    </row>
    <row r="19" spans="1:7" x14ac:dyDescent="0.25">
      <c r="A19" s="175" t="s">
        <v>28</v>
      </c>
      <c r="B19" s="134">
        <f t="shared" ref="B19:C19" si="1">SUM(B4:B18)</f>
        <v>48519.77</v>
      </c>
      <c r="C19" s="163">
        <f t="shared" si="1"/>
        <v>49668.829999999994</v>
      </c>
      <c r="D19" s="152">
        <f t="shared" ref="D19" si="2">SUM(D4:D18)</f>
        <v>45800</v>
      </c>
      <c r="E19" s="110"/>
      <c r="F19" s="111">
        <f>SUM(F4:F18)</f>
        <v>41650</v>
      </c>
    </row>
    <row r="20" spans="1:7" x14ac:dyDescent="0.25">
      <c r="A20" s="171" t="s">
        <v>29</v>
      </c>
      <c r="B20" s="135"/>
      <c r="C20" s="164"/>
      <c r="D20" s="153"/>
      <c r="E20" s="112"/>
      <c r="F20" s="103"/>
    </row>
    <row r="21" spans="1:7" x14ac:dyDescent="0.25">
      <c r="A21" s="172" t="s">
        <v>30</v>
      </c>
      <c r="B21" s="133">
        <f>500+158</f>
        <v>658</v>
      </c>
      <c r="C21" s="165">
        <f>B21+1200+650</f>
        <v>2508</v>
      </c>
      <c r="D21" s="154">
        <v>1500</v>
      </c>
      <c r="E21" s="106"/>
      <c r="F21" s="103">
        <v>1500</v>
      </c>
      <c r="G21" s="101" t="s">
        <v>284</v>
      </c>
    </row>
    <row r="22" spans="1:7" x14ac:dyDescent="0.25">
      <c r="A22" s="172" t="s">
        <v>31</v>
      </c>
      <c r="B22" s="133">
        <v>548.54999999999995</v>
      </c>
      <c r="C22" s="165">
        <f t="shared" ref="C22:C38" si="3">B22</f>
        <v>548.54999999999995</v>
      </c>
      <c r="D22" s="154">
        <v>1500</v>
      </c>
      <c r="E22" s="107"/>
      <c r="F22" s="105">
        <v>1000</v>
      </c>
      <c r="G22" s="113" t="s">
        <v>285</v>
      </c>
    </row>
    <row r="23" spans="1:7" x14ac:dyDescent="0.25">
      <c r="A23" s="172" t="s">
        <v>32</v>
      </c>
      <c r="B23" s="133">
        <v>800</v>
      </c>
      <c r="C23" s="165">
        <f t="shared" si="3"/>
        <v>800</v>
      </c>
      <c r="D23" s="154">
        <v>2000</v>
      </c>
      <c r="E23" s="107"/>
      <c r="F23" s="103">
        <v>2000</v>
      </c>
      <c r="G23" s="113" t="s">
        <v>286</v>
      </c>
    </row>
    <row r="24" spans="1:7" x14ac:dyDescent="0.25">
      <c r="A24" s="172" t="s">
        <v>33</v>
      </c>
      <c r="B24" s="133">
        <v>1245.32</v>
      </c>
      <c r="C24" s="165">
        <f t="shared" si="3"/>
        <v>1245.32</v>
      </c>
      <c r="D24" s="154">
        <v>1500</v>
      </c>
      <c r="E24" s="106"/>
      <c r="F24" s="103">
        <v>1500</v>
      </c>
      <c r="G24" s="113" t="s">
        <v>286</v>
      </c>
    </row>
    <row r="25" spans="1:7" x14ac:dyDescent="0.25">
      <c r="A25" s="172" t="s">
        <v>34</v>
      </c>
      <c r="B25" s="133">
        <v>0</v>
      </c>
      <c r="C25" s="165">
        <f t="shared" si="3"/>
        <v>0</v>
      </c>
      <c r="D25" s="154">
        <v>100</v>
      </c>
      <c r="E25" s="106"/>
      <c r="F25" s="103">
        <v>100</v>
      </c>
      <c r="G25" s="113" t="s">
        <v>286</v>
      </c>
    </row>
    <row r="26" spans="1:7" s="83" customFormat="1" ht="47.25" x14ac:dyDescent="0.25">
      <c r="A26" s="172" t="s">
        <v>97</v>
      </c>
      <c r="B26" s="133">
        <v>286</v>
      </c>
      <c r="C26" s="165">
        <f>B26+2000</f>
        <v>2286</v>
      </c>
      <c r="D26" s="154">
        <v>4000</v>
      </c>
      <c r="E26" s="107"/>
      <c r="F26" s="105">
        <v>3000</v>
      </c>
      <c r="G26" s="113" t="s">
        <v>287</v>
      </c>
    </row>
    <row r="27" spans="1:7" s="83" customFormat="1" x14ac:dyDescent="0.25">
      <c r="A27" s="172" t="s">
        <v>276</v>
      </c>
      <c r="B27" s="133">
        <v>0</v>
      </c>
      <c r="C27" s="165">
        <f t="shared" si="3"/>
        <v>0</v>
      </c>
      <c r="D27" s="154">
        <v>890</v>
      </c>
      <c r="E27" s="107"/>
      <c r="F27" s="105">
        <v>0</v>
      </c>
      <c r="G27" s="113" t="s">
        <v>288</v>
      </c>
    </row>
    <row r="28" spans="1:7" s="99" customFormat="1" x14ac:dyDescent="0.25">
      <c r="A28" s="172" t="s">
        <v>35</v>
      </c>
      <c r="B28" s="133">
        <v>275.2</v>
      </c>
      <c r="C28" s="165">
        <f t="shared" si="3"/>
        <v>275.2</v>
      </c>
      <c r="D28" s="154">
        <v>500</v>
      </c>
      <c r="E28" s="106"/>
      <c r="F28" s="114">
        <v>500</v>
      </c>
      <c r="G28" s="113" t="s">
        <v>289</v>
      </c>
    </row>
    <row r="29" spans="1:7" s="70" customFormat="1" x14ac:dyDescent="0.25">
      <c r="A29" s="172" t="s">
        <v>36</v>
      </c>
      <c r="B29" s="133">
        <v>0</v>
      </c>
      <c r="C29" s="165">
        <f>B29+230</f>
        <v>230</v>
      </c>
      <c r="D29" s="154">
        <v>230</v>
      </c>
      <c r="E29" s="106"/>
      <c r="F29" s="105">
        <v>230</v>
      </c>
      <c r="G29" s="113" t="s">
        <v>153</v>
      </c>
    </row>
    <row r="30" spans="1:7" s="70" customFormat="1" x14ac:dyDescent="0.25">
      <c r="A30" s="172" t="s">
        <v>37</v>
      </c>
      <c r="B30" s="133">
        <v>0</v>
      </c>
      <c r="C30" s="165">
        <f t="shared" si="3"/>
        <v>0</v>
      </c>
      <c r="D30" s="154">
        <v>100</v>
      </c>
      <c r="E30" s="106"/>
      <c r="F30" s="105">
        <v>0</v>
      </c>
      <c r="G30" s="113" t="s">
        <v>290</v>
      </c>
    </row>
    <row r="31" spans="1:7" x14ac:dyDescent="0.25">
      <c r="A31" s="172" t="s">
        <v>38</v>
      </c>
      <c r="B31" s="133">
        <v>655.40000000000009</v>
      </c>
      <c r="C31" s="165">
        <f>1200</f>
        <v>1200</v>
      </c>
      <c r="D31" s="154">
        <v>2700</v>
      </c>
      <c r="E31" s="107"/>
      <c r="F31" s="105">
        <v>2550</v>
      </c>
      <c r="G31" s="113" t="s">
        <v>154</v>
      </c>
    </row>
    <row r="32" spans="1:7" x14ac:dyDescent="0.25">
      <c r="A32" s="172" t="s">
        <v>39</v>
      </c>
      <c r="B32" s="133">
        <v>250</v>
      </c>
      <c r="C32" s="165">
        <f t="shared" si="3"/>
        <v>250</v>
      </c>
      <c r="D32" s="154">
        <v>250</v>
      </c>
      <c r="E32" s="106"/>
      <c r="F32" s="103">
        <v>250</v>
      </c>
      <c r="G32" s="113" t="s">
        <v>286</v>
      </c>
    </row>
    <row r="33" spans="1:10" s="83" customFormat="1" x14ac:dyDescent="0.25">
      <c r="A33" s="172" t="s">
        <v>40</v>
      </c>
      <c r="B33" s="133">
        <v>0</v>
      </c>
      <c r="C33" s="165">
        <f t="shared" si="3"/>
        <v>0</v>
      </c>
      <c r="D33" s="154">
        <v>1000</v>
      </c>
      <c r="E33" s="107"/>
      <c r="F33" s="105">
        <v>0</v>
      </c>
      <c r="G33" s="113" t="s">
        <v>294</v>
      </c>
    </row>
    <row r="34" spans="1:10" ht="63" x14ac:dyDescent="0.25">
      <c r="A34" s="172" t="s">
        <v>41</v>
      </c>
      <c r="B34" s="133">
        <v>2216.21</v>
      </c>
      <c r="C34" s="165">
        <v>2750</v>
      </c>
      <c r="D34" s="154">
        <v>2750</v>
      </c>
      <c r="E34" s="106"/>
      <c r="F34" s="105">
        <v>3250</v>
      </c>
      <c r="G34" s="113" t="s">
        <v>295</v>
      </c>
    </row>
    <row r="35" spans="1:10" x14ac:dyDescent="0.25">
      <c r="A35" s="174" t="s">
        <v>42</v>
      </c>
      <c r="B35" s="133">
        <v>667.21</v>
      </c>
      <c r="C35" s="165">
        <f t="shared" si="3"/>
        <v>667.21</v>
      </c>
      <c r="D35" s="154">
        <v>750</v>
      </c>
      <c r="E35" s="106"/>
      <c r="F35" s="103">
        <v>750</v>
      </c>
      <c r="G35" s="101" t="s">
        <v>296</v>
      </c>
    </row>
    <row r="36" spans="1:10" x14ac:dyDescent="0.25">
      <c r="A36" s="174" t="s">
        <v>43</v>
      </c>
      <c r="B36" s="133">
        <v>0</v>
      </c>
      <c r="C36" s="165">
        <f t="shared" si="3"/>
        <v>0</v>
      </c>
      <c r="D36" s="154">
        <v>50</v>
      </c>
      <c r="E36" s="106"/>
      <c r="F36" s="103">
        <v>50</v>
      </c>
      <c r="G36" s="101" t="s">
        <v>286</v>
      </c>
    </row>
    <row r="37" spans="1:10" ht="31.5" x14ac:dyDescent="0.25">
      <c r="A37" s="174" t="s">
        <v>44</v>
      </c>
      <c r="B37" s="131">
        <v>190.34</v>
      </c>
      <c r="C37" s="165">
        <v>580</v>
      </c>
      <c r="D37" s="151">
        <v>600</v>
      </c>
      <c r="E37" s="104"/>
      <c r="F37" s="115">
        <v>500</v>
      </c>
      <c r="G37" s="101" t="s">
        <v>297</v>
      </c>
    </row>
    <row r="38" spans="1:10" x14ac:dyDescent="0.25">
      <c r="A38" s="174" t="s">
        <v>45</v>
      </c>
      <c r="B38" s="131">
        <v>101.92</v>
      </c>
      <c r="C38" s="165">
        <f t="shared" si="3"/>
        <v>101.92</v>
      </c>
      <c r="D38" s="151">
        <v>100</v>
      </c>
      <c r="E38" s="104"/>
      <c r="F38" s="103">
        <v>100</v>
      </c>
      <c r="G38" s="101" t="s">
        <v>286</v>
      </c>
    </row>
    <row r="39" spans="1:10" x14ac:dyDescent="0.25">
      <c r="A39" s="176" t="s">
        <v>46</v>
      </c>
      <c r="B39" s="136">
        <v>47.94</v>
      </c>
      <c r="C39" s="170">
        <v>200</v>
      </c>
      <c r="D39" s="160">
        <v>200</v>
      </c>
      <c r="E39" s="104"/>
      <c r="F39" s="116">
        <v>200</v>
      </c>
      <c r="G39" s="101" t="s">
        <v>286</v>
      </c>
      <c r="J39" s="70"/>
    </row>
    <row r="40" spans="1:10" x14ac:dyDescent="0.25">
      <c r="A40" s="177" t="s">
        <v>47</v>
      </c>
      <c r="B40" s="133">
        <v>0</v>
      </c>
      <c r="C40" s="165"/>
      <c r="D40" s="154"/>
      <c r="E40" s="106"/>
      <c r="F40" s="103"/>
    </row>
    <row r="41" spans="1:10" ht="94.5" x14ac:dyDescent="0.25">
      <c r="A41" s="172" t="s">
        <v>48</v>
      </c>
      <c r="B41" s="133">
        <v>120</v>
      </c>
      <c r="C41" s="165">
        <v>1875</v>
      </c>
      <c r="D41" s="154">
        <v>1875</v>
      </c>
      <c r="E41" s="106"/>
      <c r="F41" s="103">
        <v>1875</v>
      </c>
      <c r="G41" s="101" t="s">
        <v>328</v>
      </c>
    </row>
    <row r="42" spans="1:10" x14ac:dyDescent="0.25">
      <c r="A42" s="172" t="s">
        <v>49</v>
      </c>
      <c r="B42" s="133">
        <v>354.9</v>
      </c>
      <c r="C42" s="165">
        <f>355+700</f>
        <v>1055</v>
      </c>
      <c r="D42" s="154">
        <v>1875</v>
      </c>
      <c r="E42" s="106"/>
      <c r="F42" s="103">
        <v>1875</v>
      </c>
      <c r="G42" s="101" t="s">
        <v>286</v>
      </c>
    </row>
    <row r="43" spans="1:10" x14ac:dyDescent="0.25">
      <c r="A43" s="172" t="s">
        <v>50</v>
      </c>
      <c r="B43" s="133">
        <v>848.19999999999993</v>
      </c>
      <c r="C43" s="165">
        <f>848+700</f>
        <v>1548</v>
      </c>
      <c r="D43" s="154">
        <v>1875</v>
      </c>
      <c r="E43" s="106"/>
      <c r="F43" s="103">
        <v>1875</v>
      </c>
      <c r="G43" s="101" t="s">
        <v>286</v>
      </c>
    </row>
    <row r="44" spans="1:10" x14ac:dyDescent="0.25">
      <c r="A44" s="172" t="s">
        <v>51</v>
      </c>
      <c r="B44" s="133">
        <v>384.9</v>
      </c>
      <c r="C44" s="165">
        <f>385+700</f>
        <v>1085</v>
      </c>
      <c r="D44" s="154">
        <v>1875</v>
      </c>
      <c r="E44" s="106"/>
      <c r="F44" s="103">
        <v>1875</v>
      </c>
      <c r="G44" s="101" t="s">
        <v>286</v>
      </c>
    </row>
    <row r="45" spans="1:10" x14ac:dyDescent="0.25">
      <c r="A45" s="172" t="s">
        <v>52</v>
      </c>
      <c r="B45" s="133">
        <v>406.15</v>
      </c>
      <c r="C45" s="165">
        <f>406+750</f>
        <v>1156</v>
      </c>
      <c r="D45" s="154">
        <v>1875</v>
      </c>
      <c r="E45" s="106"/>
      <c r="F45" s="103">
        <v>1875</v>
      </c>
      <c r="G45" s="101" t="s">
        <v>286</v>
      </c>
    </row>
    <row r="46" spans="1:10" x14ac:dyDescent="0.25">
      <c r="A46" s="172" t="s">
        <v>53</v>
      </c>
      <c r="B46" s="133">
        <v>450</v>
      </c>
      <c r="C46" s="165">
        <v>1875</v>
      </c>
      <c r="D46" s="154">
        <v>1875</v>
      </c>
      <c r="E46" s="104"/>
      <c r="F46" s="103">
        <v>1875</v>
      </c>
      <c r="G46" s="101" t="s">
        <v>286</v>
      </c>
    </row>
    <row r="47" spans="1:10" s="83" customFormat="1" x14ac:dyDescent="0.25">
      <c r="A47" s="172" t="s">
        <v>54</v>
      </c>
      <c r="B47" s="133"/>
      <c r="C47" s="165"/>
      <c r="D47" s="154">
        <v>550</v>
      </c>
      <c r="E47" s="117"/>
      <c r="F47" s="105">
        <v>0</v>
      </c>
      <c r="G47" s="118" t="s">
        <v>153</v>
      </c>
    </row>
    <row r="48" spans="1:10" ht="31.5" x14ac:dyDescent="0.25">
      <c r="A48" s="172" t="s">
        <v>55</v>
      </c>
      <c r="B48" s="133">
        <v>0</v>
      </c>
      <c r="C48" s="165"/>
      <c r="D48" s="154">
        <v>1000</v>
      </c>
      <c r="E48" s="104"/>
      <c r="F48" s="103">
        <v>0</v>
      </c>
      <c r="G48" s="101" t="s">
        <v>317</v>
      </c>
    </row>
    <row r="49" spans="1:9" x14ac:dyDescent="0.25">
      <c r="A49" s="175" t="s">
        <v>56</v>
      </c>
      <c r="B49" s="137">
        <f>SUBTOTAL(9,B40:B48)</f>
        <v>2564.15</v>
      </c>
      <c r="C49" s="166">
        <f>SUBTOTAL(9,C40:C48)</f>
        <v>8594</v>
      </c>
      <c r="D49" s="155">
        <f>SUBTOTAL(9,D40:D48)</f>
        <v>12800</v>
      </c>
      <c r="E49" s="110"/>
      <c r="F49" s="119">
        <f>SUBTOTAL(9,F40:F48)</f>
        <v>11250</v>
      </c>
    </row>
    <row r="50" spans="1:9" x14ac:dyDescent="0.25">
      <c r="A50" s="172" t="s">
        <v>57</v>
      </c>
      <c r="B50" s="133">
        <v>995</v>
      </c>
      <c r="C50" s="165">
        <f>B50</f>
        <v>995</v>
      </c>
      <c r="D50" s="154">
        <v>1000</v>
      </c>
      <c r="E50" s="104"/>
      <c r="F50" s="103">
        <v>1000</v>
      </c>
      <c r="G50" s="101" t="s">
        <v>286</v>
      </c>
    </row>
    <row r="51" spans="1:9" ht="31.5" x14ac:dyDescent="0.25">
      <c r="A51" s="172" t="s">
        <v>58</v>
      </c>
      <c r="B51" s="133">
        <v>3515.6299999999997</v>
      </c>
      <c r="C51" s="165">
        <f t="shared" ref="C51:C80" si="4">B51</f>
        <v>3515.6299999999997</v>
      </c>
      <c r="D51" s="154">
        <v>5000</v>
      </c>
      <c r="E51" s="104"/>
      <c r="F51" s="105">
        <v>4250</v>
      </c>
      <c r="G51" s="101" t="s">
        <v>298</v>
      </c>
    </row>
    <row r="52" spans="1:9" x14ac:dyDescent="0.25">
      <c r="A52" s="174" t="s">
        <v>59</v>
      </c>
      <c r="B52" s="133">
        <v>0</v>
      </c>
      <c r="C52" s="165">
        <f t="shared" si="4"/>
        <v>0</v>
      </c>
      <c r="D52" s="154">
        <v>100</v>
      </c>
      <c r="E52" s="107"/>
      <c r="F52" s="115">
        <v>250</v>
      </c>
      <c r="G52" s="101" t="s">
        <v>299</v>
      </c>
    </row>
    <row r="53" spans="1:9" x14ac:dyDescent="0.25">
      <c r="A53" s="172" t="s">
        <v>60</v>
      </c>
      <c r="B53" s="133">
        <v>0</v>
      </c>
      <c r="C53" s="165">
        <f t="shared" si="4"/>
        <v>0</v>
      </c>
      <c r="D53" s="154">
        <v>200</v>
      </c>
      <c r="E53" s="107"/>
      <c r="F53" s="103">
        <v>0</v>
      </c>
      <c r="G53" s="101" t="s">
        <v>300</v>
      </c>
    </row>
    <row r="54" spans="1:9" x14ac:dyDescent="0.25">
      <c r="A54" s="172" t="s">
        <v>61</v>
      </c>
      <c r="B54" s="133">
        <v>335</v>
      </c>
      <c r="C54" s="165">
        <f t="shared" si="4"/>
        <v>335</v>
      </c>
      <c r="D54" s="154">
        <v>340</v>
      </c>
      <c r="E54" s="106"/>
      <c r="F54" s="103">
        <v>340</v>
      </c>
      <c r="G54" s="101" t="s">
        <v>286</v>
      </c>
    </row>
    <row r="55" spans="1:9" x14ac:dyDescent="0.25">
      <c r="A55" s="172" t="s">
        <v>62</v>
      </c>
      <c r="B55" s="133">
        <v>33.57</v>
      </c>
      <c r="C55" s="165">
        <f t="shared" si="4"/>
        <v>33.57</v>
      </c>
      <c r="D55" s="154">
        <v>200</v>
      </c>
      <c r="E55" s="106"/>
      <c r="F55" s="105">
        <v>150</v>
      </c>
      <c r="G55" s="101" t="s">
        <v>301</v>
      </c>
    </row>
    <row r="56" spans="1:9" s="80" customFormat="1" x14ac:dyDescent="0.25">
      <c r="A56" s="173" t="s">
        <v>63</v>
      </c>
      <c r="B56" s="138">
        <v>0</v>
      </c>
      <c r="C56" s="165">
        <f t="shared" si="4"/>
        <v>0</v>
      </c>
      <c r="D56" s="159">
        <v>0</v>
      </c>
      <c r="E56" s="120"/>
      <c r="F56" s="121">
        <v>0</v>
      </c>
      <c r="G56" s="101" t="s">
        <v>290</v>
      </c>
    </row>
    <row r="57" spans="1:9" s="70" customFormat="1" x14ac:dyDescent="0.25">
      <c r="A57" s="178" t="s">
        <v>64</v>
      </c>
      <c r="B57" s="138">
        <v>0</v>
      </c>
      <c r="C57" s="165">
        <f t="shared" si="4"/>
        <v>0</v>
      </c>
      <c r="D57" s="159">
        <v>200</v>
      </c>
      <c r="E57" s="108"/>
      <c r="F57" s="121">
        <v>0</v>
      </c>
      <c r="G57" s="101" t="s">
        <v>156</v>
      </c>
      <c r="H57"/>
      <c r="I57"/>
    </row>
    <row r="58" spans="1:9" s="70" customFormat="1" x14ac:dyDescent="0.25">
      <c r="A58" s="173" t="s">
        <v>65</v>
      </c>
      <c r="B58" s="138">
        <v>0</v>
      </c>
      <c r="C58" s="165">
        <f t="shared" si="4"/>
        <v>0</v>
      </c>
      <c r="D58" s="159">
        <v>100</v>
      </c>
      <c r="E58" s="108"/>
      <c r="F58" s="122">
        <v>0</v>
      </c>
      <c r="G58" s="123" t="s">
        <v>302</v>
      </c>
    </row>
    <row r="59" spans="1:9" x14ac:dyDescent="0.25">
      <c r="A59" s="174" t="s">
        <v>66</v>
      </c>
      <c r="B59" s="133">
        <v>0</v>
      </c>
      <c r="C59" s="165">
        <f t="shared" si="4"/>
        <v>0</v>
      </c>
      <c r="D59" s="154">
        <v>250</v>
      </c>
      <c r="E59" s="107"/>
      <c r="F59" s="103">
        <v>0</v>
      </c>
      <c r="G59" s="101" t="s">
        <v>303</v>
      </c>
    </row>
    <row r="60" spans="1:9" x14ac:dyDescent="0.25">
      <c r="A60" s="172" t="s">
        <v>67</v>
      </c>
      <c r="B60" s="133">
        <v>9.5</v>
      </c>
      <c r="C60" s="165">
        <v>139</v>
      </c>
      <c r="D60" s="154">
        <v>500</v>
      </c>
      <c r="E60" s="107"/>
      <c r="F60" s="105">
        <v>250</v>
      </c>
      <c r="G60" s="101" t="s">
        <v>304</v>
      </c>
    </row>
    <row r="61" spans="1:9" ht="47.25" x14ac:dyDescent="0.25">
      <c r="A61" s="172" t="s">
        <v>68</v>
      </c>
      <c r="B61" s="133">
        <v>74.989999999999995</v>
      </c>
      <c r="C61" s="165">
        <f t="shared" si="4"/>
        <v>74.989999999999995</v>
      </c>
      <c r="D61" s="154">
        <v>500</v>
      </c>
      <c r="E61" s="107"/>
      <c r="F61" s="105">
        <v>350</v>
      </c>
      <c r="G61" s="101" t="s">
        <v>305</v>
      </c>
    </row>
    <row r="62" spans="1:9" x14ac:dyDescent="0.25">
      <c r="A62" s="172" t="s">
        <v>69</v>
      </c>
      <c r="B62" s="133">
        <v>0</v>
      </c>
      <c r="C62" s="165">
        <f t="shared" si="4"/>
        <v>0</v>
      </c>
      <c r="D62" s="154">
        <v>120</v>
      </c>
      <c r="E62" s="107"/>
      <c r="F62" s="105">
        <v>0</v>
      </c>
      <c r="G62" s="101" t="s">
        <v>306</v>
      </c>
    </row>
    <row r="63" spans="1:9" x14ac:dyDescent="0.25">
      <c r="A63" s="174" t="s">
        <v>70</v>
      </c>
      <c r="B63" s="133">
        <v>0</v>
      </c>
      <c r="C63" s="165">
        <f t="shared" si="4"/>
        <v>0</v>
      </c>
      <c r="D63" s="154">
        <v>500</v>
      </c>
      <c r="E63" s="107"/>
      <c r="F63" s="105"/>
      <c r="G63" s="101" t="s">
        <v>307</v>
      </c>
    </row>
    <row r="64" spans="1:9" x14ac:dyDescent="0.25">
      <c r="A64" s="174" t="s">
        <v>71</v>
      </c>
      <c r="B64" s="133">
        <v>0</v>
      </c>
      <c r="C64" s="165">
        <f t="shared" si="4"/>
        <v>0</v>
      </c>
      <c r="D64" s="154">
        <v>500</v>
      </c>
      <c r="E64" s="107"/>
      <c r="F64" s="105"/>
      <c r="G64" s="101" t="s">
        <v>307</v>
      </c>
    </row>
    <row r="65" spans="1:7" x14ac:dyDescent="0.25">
      <c r="A65" s="174" t="s">
        <v>72</v>
      </c>
      <c r="B65" s="133"/>
      <c r="C65" s="165">
        <f t="shared" si="4"/>
        <v>0</v>
      </c>
      <c r="D65" s="154">
        <v>250</v>
      </c>
      <c r="E65" s="107"/>
      <c r="F65" s="105"/>
      <c r="G65" s="101" t="s">
        <v>307</v>
      </c>
    </row>
    <row r="66" spans="1:7" ht="31.5" x14ac:dyDescent="0.25">
      <c r="A66" s="174" t="s">
        <v>73</v>
      </c>
      <c r="B66" s="133">
        <v>0</v>
      </c>
      <c r="C66" s="165">
        <f t="shared" si="4"/>
        <v>0</v>
      </c>
      <c r="D66" s="154">
        <v>0</v>
      </c>
      <c r="E66" s="107"/>
      <c r="F66" s="105"/>
      <c r="G66" s="101" t="s">
        <v>307</v>
      </c>
    </row>
    <row r="67" spans="1:7" x14ac:dyDescent="0.25">
      <c r="A67" s="174" t="s">
        <v>74</v>
      </c>
      <c r="B67" s="133">
        <v>0</v>
      </c>
      <c r="C67" s="165">
        <f t="shared" si="4"/>
        <v>0</v>
      </c>
      <c r="D67" s="154">
        <v>500</v>
      </c>
      <c r="E67" s="107"/>
      <c r="F67" s="105">
        <v>0</v>
      </c>
      <c r="G67" s="101" t="s">
        <v>308</v>
      </c>
    </row>
    <row r="68" spans="1:7" x14ac:dyDescent="0.25">
      <c r="A68" s="174" t="s">
        <v>75</v>
      </c>
      <c r="B68" s="133">
        <v>395.34</v>
      </c>
      <c r="C68" s="165">
        <f t="shared" si="4"/>
        <v>395.34</v>
      </c>
      <c r="D68" s="154">
        <v>500</v>
      </c>
      <c r="E68" s="107"/>
      <c r="F68" s="105">
        <v>425</v>
      </c>
      <c r="G68" s="101" t="s">
        <v>309</v>
      </c>
    </row>
    <row r="69" spans="1:7" x14ac:dyDescent="0.25">
      <c r="A69" s="174" t="s">
        <v>76</v>
      </c>
      <c r="B69" s="133">
        <v>460.68</v>
      </c>
      <c r="C69" s="165">
        <f t="shared" si="4"/>
        <v>460.68</v>
      </c>
      <c r="D69" s="154">
        <v>500</v>
      </c>
      <c r="E69" s="107"/>
      <c r="F69" s="105">
        <v>475</v>
      </c>
      <c r="G69" s="101" t="s">
        <v>310</v>
      </c>
    </row>
    <row r="70" spans="1:7" x14ac:dyDescent="0.25">
      <c r="A70" s="172" t="s">
        <v>77</v>
      </c>
      <c r="B70" s="133">
        <v>6100.18</v>
      </c>
      <c r="C70" s="165">
        <v>6750</v>
      </c>
      <c r="D70" s="154">
        <v>7000</v>
      </c>
      <c r="E70" s="106"/>
      <c r="F70" s="105">
        <v>7000</v>
      </c>
      <c r="G70" s="101" t="s">
        <v>311</v>
      </c>
    </row>
    <row r="71" spans="1:7" s="83" customFormat="1" x14ac:dyDescent="0.25">
      <c r="A71" s="172" t="s">
        <v>155</v>
      </c>
      <c r="B71" s="133"/>
      <c r="C71" s="165">
        <f t="shared" si="4"/>
        <v>0</v>
      </c>
      <c r="D71" s="154"/>
      <c r="E71" s="107"/>
      <c r="F71" s="105">
        <v>200</v>
      </c>
      <c r="G71" s="118" t="s">
        <v>312</v>
      </c>
    </row>
    <row r="72" spans="1:7" s="70" customFormat="1" ht="31.5" x14ac:dyDescent="0.25">
      <c r="A72" s="173" t="s">
        <v>78</v>
      </c>
      <c r="B72" s="138">
        <v>0</v>
      </c>
      <c r="C72" s="165">
        <f t="shared" si="4"/>
        <v>0</v>
      </c>
      <c r="D72" s="159">
        <v>2000</v>
      </c>
      <c r="E72" s="108"/>
      <c r="F72" s="109"/>
      <c r="G72" s="123"/>
    </row>
    <row r="73" spans="1:7" x14ac:dyDescent="0.25">
      <c r="A73" s="172" t="s">
        <v>79</v>
      </c>
      <c r="B73" s="133">
        <v>281</v>
      </c>
      <c r="C73" s="165">
        <f t="shared" si="4"/>
        <v>281</v>
      </c>
      <c r="D73" s="154">
        <v>750</v>
      </c>
      <c r="E73" s="107"/>
      <c r="F73" s="105">
        <v>600</v>
      </c>
      <c r="G73" s="101" t="s">
        <v>310</v>
      </c>
    </row>
    <row r="74" spans="1:7" x14ac:dyDescent="0.25">
      <c r="A74" s="174" t="s">
        <v>80</v>
      </c>
      <c r="B74" s="133">
        <v>1146.71</v>
      </c>
      <c r="C74" s="165">
        <v>1350</v>
      </c>
      <c r="D74" s="154">
        <v>1350</v>
      </c>
      <c r="E74" s="107"/>
      <c r="F74" s="103">
        <v>1350</v>
      </c>
      <c r="G74" s="101" t="s">
        <v>313</v>
      </c>
    </row>
    <row r="75" spans="1:7" x14ac:dyDescent="0.25">
      <c r="A75" s="174" t="s">
        <v>81</v>
      </c>
      <c r="B75" s="133">
        <v>502.7</v>
      </c>
      <c r="C75" s="165">
        <f t="shared" si="4"/>
        <v>502.7</v>
      </c>
      <c r="D75" s="154">
        <v>300</v>
      </c>
      <c r="E75" s="106"/>
      <c r="F75" s="103">
        <v>300</v>
      </c>
      <c r="G75" s="101" t="s">
        <v>313</v>
      </c>
    </row>
    <row r="76" spans="1:7" x14ac:dyDescent="0.25">
      <c r="A76" s="172" t="s">
        <v>82</v>
      </c>
      <c r="B76" s="133">
        <v>0</v>
      </c>
      <c r="C76" s="165">
        <f t="shared" si="4"/>
        <v>0</v>
      </c>
      <c r="D76" s="154">
        <v>75</v>
      </c>
      <c r="E76" s="106"/>
      <c r="F76" s="105">
        <v>0</v>
      </c>
      <c r="G76" s="101" t="s">
        <v>314</v>
      </c>
    </row>
    <row r="77" spans="1:7" x14ac:dyDescent="0.25">
      <c r="A77" s="172" t="s">
        <v>83</v>
      </c>
      <c r="B77" s="133">
        <v>455.84999999999997</v>
      </c>
      <c r="C77" s="165">
        <v>500</v>
      </c>
      <c r="D77" s="154">
        <v>500</v>
      </c>
      <c r="E77" s="107"/>
      <c r="F77" s="103">
        <v>500</v>
      </c>
      <c r="G77" s="101" t="s">
        <v>315</v>
      </c>
    </row>
    <row r="78" spans="1:7" x14ac:dyDescent="0.25">
      <c r="A78" s="172" t="s">
        <v>84</v>
      </c>
      <c r="B78" s="133">
        <v>140</v>
      </c>
      <c r="C78" s="165">
        <f t="shared" si="4"/>
        <v>140</v>
      </c>
      <c r="D78" s="154">
        <v>140</v>
      </c>
      <c r="E78" s="106"/>
      <c r="F78" s="103">
        <v>140</v>
      </c>
      <c r="G78" s="101" t="s">
        <v>315</v>
      </c>
    </row>
    <row r="79" spans="1:7" x14ac:dyDescent="0.25">
      <c r="A79" s="172" t="s">
        <v>85</v>
      </c>
      <c r="B79" s="133">
        <v>3361.5899999999997</v>
      </c>
      <c r="C79" s="165">
        <v>6250</v>
      </c>
      <c r="D79" s="154">
        <v>8250</v>
      </c>
      <c r="E79" s="106"/>
      <c r="F79" s="103">
        <v>8500</v>
      </c>
      <c r="G79" s="101" t="s">
        <v>316</v>
      </c>
    </row>
    <row r="80" spans="1:7" x14ac:dyDescent="0.25">
      <c r="A80" s="172" t="s">
        <v>86</v>
      </c>
      <c r="B80" s="133">
        <v>100</v>
      </c>
      <c r="C80" s="165">
        <f t="shared" si="4"/>
        <v>100</v>
      </c>
      <c r="D80" s="154">
        <v>1000</v>
      </c>
      <c r="E80" s="106"/>
      <c r="F80" s="103">
        <v>1000</v>
      </c>
      <c r="G80" s="101" t="s">
        <v>316</v>
      </c>
    </row>
    <row r="81" spans="1:7" x14ac:dyDescent="0.25">
      <c r="A81" s="172" t="s">
        <v>88</v>
      </c>
      <c r="B81" s="133">
        <v>66</v>
      </c>
      <c r="C81" s="165">
        <v>150</v>
      </c>
      <c r="D81" s="154">
        <v>150</v>
      </c>
      <c r="E81" s="106"/>
      <c r="F81" s="103">
        <v>150</v>
      </c>
      <c r="G81" s="101" t="s">
        <v>315</v>
      </c>
    </row>
    <row r="82" spans="1:7" x14ac:dyDescent="0.25">
      <c r="A82" s="172"/>
      <c r="B82" s="133">
        <v>0</v>
      </c>
      <c r="C82" s="165"/>
      <c r="D82" s="154"/>
      <c r="E82" s="104"/>
      <c r="F82" s="103"/>
    </row>
    <row r="83" spans="1:7" x14ac:dyDescent="0.25">
      <c r="A83" s="175" t="s">
        <v>89</v>
      </c>
      <c r="B83" s="134">
        <f>SUBTOTAL(9,B20:B82)</f>
        <v>28479.979999999996</v>
      </c>
      <c r="C83" s="163">
        <f>SUBTOTAL(9,C20:C82)</f>
        <v>44209.11</v>
      </c>
      <c r="D83" s="152">
        <f>SUBTOTAL(9,D20:D82)</f>
        <v>66295</v>
      </c>
      <c r="E83" s="110"/>
      <c r="F83" s="111">
        <f>SUBTOTAL(9,F20:F82)</f>
        <v>55960</v>
      </c>
    </row>
    <row r="84" spans="1:7" x14ac:dyDescent="0.25">
      <c r="A84" s="179" t="s">
        <v>90</v>
      </c>
      <c r="B84" s="139">
        <f>B19-B83</f>
        <v>20039.79</v>
      </c>
      <c r="C84" s="167">
        <f>C19-C83</f>
        <v>5459.7199999999939</v>
      </c>
      <c r="D84" s="156">
        <f>D19-D83</f>
        <v>-20495</v>
      </c>
      <c r="E84" s="110"/>
      <c r="F84" s="124">
        <f t="shared" ref="F84" si="5">F19-F83</f>
        <v>-14310</v>
      </c>
    </row>
    <row r="85" spans="1:7" x14ac:dyDescent="0.25">
      <c r="A85" s="177" t="s">
        <v>91</v>
      </c>
      <c r="B85" s="135"/>
      <c r="C85" s="164"/>
      <c r="D85" s="153"/>
      <c r="E85" s="112"/>
      <c r="F85" s="125"/>
    </row>
    <row r="86" spans="1:7" x14ac:dyDescent="0.25">
      <c r="A86" s="172" t="s">
        <v>92</v>
      </c>
      <c r="B86" s="133">
        <v>9</v>
      </c>
      <c r="C86" s="165">
        <v>10</v>
      </c>
      <c r="D86" s="154">
        <v>10</v>
      </c>
      <c r="E86" s="104"/>
      <c r="F86" s="126">
        <v>10</v>
      </c>
    </row>
    <row r="87" spans="1:7" x14ac:dyDescent="0.25">
      <c r="A87" s="180" t="s">
        <v>93</v>
      </c>
      <c r="B87" s="133">
        <v>1</v>
      </c>
      <c r="C87" s="165">
        <v>100</v>
      </c>
      <c r="D87" s="154">
        <v>100</v>
      </c>
      <c r="E87" s="104"/>
      <c r="F87" s="126">
        <v>100</v>
      </c>
    </row>
    <row r="88" spans="1:7" x14ac:dyDescent="0.25">
      <c r="A88" s="181" t="s">
        <v>94</v>
      </c>
      <c r="B88" s="140">
        <f>SUM(B86:B87)</f>
        <v>10</v>
      </c>
      <c r="C88" s="168">
        <f>SUM(C86:C87)</f>
        <v>110</v>
      </c>
      <c r="D88" s="157">
        <f>SUM(D86:D87)</f>
        <v>110</v>
      </c>
      <c r="E88" s="110"/>
      <c r="F88" s="127">
        <f t="shared" ref="F88" si="6">SUM(F86:F87)</f>
        <v>110</v>
      </c>
    </row>
    <row r="89" spans="1:7" x14ac:dyDescent="0.25">
      <c r="A89" s="181" t="s">
        <v>95</v>
      </c>
      <c r="B89" s="140">
        <v>10</v>
      </c>
      <c r="C89" s="168">
        <f t="shared" ref="C89:F89" si="7">(C88)-(0)</f>
        <v>110</v>
      </c>
      <c r="D89" s="157">
        <f t="shared" ref="D89" si="8">(D88)-(0)</f>
        <v>110</v>
      </c>
      <c r="E89" s="110"/>
      <c r="F89" s="127">
        <f t="shared" si="7"/>
        <v>110</v>
      </c>
    </row>
    <row r="90" spans="1:7" ht="16.5" thickBot="1" x14ac:dyDescent="0.3">
      <c r="A90" s="175" t="s">
        <v>96</v>
      </c>
      <c r="B90" s="141">
        <f>(B84)+(B89)</f>
        <v>20049.79</v>
      </c>
      <c r="C90" s="169">
        <f>(C84)+(C89)</f>
        <v>5569.7199999999939</v>
      </c>
      <c r="D90" s="158">
        <f>(D84)+(D89)</f>
        <v>-20385</v>
      </c>
      <c r="E90" s="110"/>
      <c r="F90" s="128">
        <f t="shared" ref="F90" si="9">(F84)+(F89)</f>
        <v>-14200</v>
      </c>
    </row>
    <row r="91" spans="1:7" ht="16.5" thickTop="1" x14ac:dyDescent="0.25"/>
    <row r="92" spans="1:7" x14ac:dyDescent="0.25">
      <c r="A92" s="101" t="s">
        <v>331</v>
      </c>
      <c r="C92" s="182">
        <f>C83/D83</f>
        <v>0.66685436307413837</v>
      </c>
    </row>
  </sheetData>
  <pageMargins left="0.25" right="0.25" top="0.75" bottom="0.75" header="0.3" footer="0.3"/>
  <pageSetup scale="71" fitToHeight="0"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59F21-867F-4725-A5BF-0646CFF57F36}">
  <dimension ref="A1:B68"/>
  <sheetViews>
    <sheetView topLeftCell="A9" workbookViewId="0">
      <selection activeCell="B75" sqref="B75"/>
    </sheetView>
  </sheetViews>
  <sheetFormatPr defaultRowHeight="15" x14ac:dyDescent="0.25"/>
  <cols>
    <col min="1" max="1" width="47.28515625" style="91" customWidth="1"/>
    <col min="2" max="2" width="13.7109375" style="91" customWidth="1"/>
    <col min="3" max="16384" width="9.140625" style="91"/>
  </cols>
  <sheetData>
    <row r="1" spans="1:2" ht="18" x14ac:dyDescent="0.25">
      <c r="A1" s="187" t="s">
        <v>223</v>
      </c>
      <c r="B1" s="186"/>
    </row>
    <row r="2" spans="1:2" ht="18" x14ac:dyDescent="0.25">
      <c r="A2" s="187" t="s">
        <v>222</v>
      </c>
      <c r="B2" s="186"/>
    </row>
    <row r="3" spans="1:2" x14ac:dyDescent="0.25">
      <c r="A3" s="188" t="s">
        <v>323</v>
      </c>
      <c r="B3" s="186"/>
    </row>
    <row r="5" spans="1:2" x14ac:dyDescent="0.25">
      <c r="A5" s="97"/>
      <c r="B5" s="96" t="s">
        <v>211</v>
      </c>
    </row>
    <row r="6" spans="1:2" x14ac:dyDescent="0.25">
      <c r="A6" s="93" t="s">
        <v>13</v>
      </c>
      <c r="B6" s="92"/>
    </row>
    <row r="7" spans="1:2" x14ac:dyDescent="0.25">
      <c r="A7" s="93" t="s">
        <v>210</v>
      </c>
      <c r="B7" s="95">
        <f>407.2</f>
        <v>407.2</v>
      </c>
    </row>
    <row r="8" spans="1:2" x14ac:dyDescent="0.25">
      <c r="A8" s="93" t="s">
        <v>209</v>
      </c>
      <c r="B8" s="95">
        <f>2903.85</f>
        <v>2903.85</v>
      </c>
    </row>
    <row r="9" spans="1:2" x14ac:dyDescent="0.25">
      <c r="A9" s="93" t="s">
        <v>208</v>
      </c>
      <c r="B9" s="95">
        <f>1900+700</f>
        <v>2600</v>
      </c>
    </row>
    <row r="10" spans="1:2" x14ac:dyDescent="0.25">
      <c r="A10" s="93" t="s">
        <v>207</v>
      </c>
      <c r="B10" s="95">
        <f>124.9</f>
        <v>124.9</v>
      </c>
    </row>
    <row r="11" spans="1:2" x14ac:dyDescent="0.25">
      <c r="A11" s="93" t="s">
        <v>205</v>
      </c>
      <c r="B11" s="95">
        <f>29328.72</f>
        <v>29328.720000000001</v>
      </c>
    </row>
    <row r="12" spans="1:2" x14ac:dyDescent="0.25">
      <c r="A12" s="93" t="s">
        <v>204</v>
      </c>
      <c r="B12" s="95">
        <f>1746.05</f>
        <v>1746.05</v>
      </c>
    </row>
    <row r="13" spans="1:2" x14ac:dyDescent="0.25">
      <c r="A13" s="93" t="s">
        <v>203</v>
      </c>
      <c r="B13" s="95">
        <f>249.55</f>
        <v>249.55</v>
      </c>
    </row>
    <row r="14" spans="1:2" x14ac:dyDescent="0.25">
      <c r="A14" s="93" t="s">
        <v>320</v>
      </c>
      <c r="B14" s="95">
        <f>990.39+1711.5</f>
        <v>2701.89</v>
      </c>
    </row>
    <row r="15" spans="1:2" x14ac:dyDescent="0.25">
      <c r="A15" s="93" t="s">
        <v>202</v>
      </c>
      <c r="B15" s="95">
        <v>965.74</v>
      </c>
    </row>
    <row r="16" spans="1:2" x14ac:dyDescent="0.25">
      <c r="A16" s="93" t="s">
        <v>198</v>
      </c>
      <c r="B16" s="95">
        <f>7369.83</f>
        <v>7369.83</v>
      </c>
    </row>
    <row r="17" spans="1:2" x14ac:dyDescent="0.25">
      <c r="A17" s="93" t="s">
        <v>197</v>
      </c>
      <c r="B17" s="95">
        <f>233.33</f>
        <v>233.33</v>
      </c>
    </row>
    <row r="18" spans="1:2" x14ac:dyDescent="0.25">
      <c r="A18" s="93" t="s">
        <v>28</v>
      </c>
      <c r="B18" s="94">
        <f>SUM(B7:B17)</f>
        <v>48631.060000000005</v>
      </c>
    </row>
    <row r="19" spans="1:2" x14ac:dyDescent="0.25">
      <c r="A19" s="93" t="s">
        <v>196</v>
      </c>
      <c r="B19" s="94">
        <f>(B18)-(0)</f>
        <v>48631.060000000005</v>
      </c>
    </row>
    <row r="20" spans="1:2" x14ac:dyDescent="0.25">
      <c r="A20" s="93" t="s">
        <v>29</v>
      </c>
      <c r="B20" s="92"/>
    </row>
    <row r="21" spans="1:2" x14ac:dyDescent="0.25">
      <c r="A21" s="93" t="s">
        <v>195</v>
      </c>
      <c r="B21" s="95">
        <f>500</f>
        <v>500</v>
      </c>
    </row>
    <row r="22" spans="1:2" x14ac:dyDescent="0.25">
      <c r="A22" s="93" t="s">
        <v>194</v>
      </c>
      <c r="B22" s="95">
        <f>548.55</f>
        <v>548.54999999999995</v>
      </c>
    </row>
    <row r="23" spans="1:2" x14ac:dyDescent="0.25">
      <c r="A23" s="93" t="s">
        <v>193</v>
      </c>
      <c r="B23" s="95">
        <f>800</f>
        <v>800</v>
      </c>
    </row>
    <row r="24" spans="1:2" x14ac:dyDescent="0.25">
      <c r="A24" s="93" t="s">
        <v>192</v>
      </c>
      <c r="B24" s="95">
        <f>1248.32</f>
        <v>1248.32</v>
      </c>
    </row>
    <row r="25" spans="1:2" x14ac:dyDescent="0.25">
      <c r="A25" s="93" t="s">
        <v>191</v>
      </c>
      <c r="B25" s="95">
        <f>286</f>
        <v>286</v>
      </c>
    </row>
    <row r="26" spans="1:2" x14ac:dyDescent="0.25">
      <c r="A26" s="93" t="s">
        <v>190</v>
      </c>
      <c r="B26" s="95">
        <f>275.2</f>
        <v>275.2</v>
      </c>
    </row>
    <row r="27" spans="1:2" x14ac:dyDescent="0.25">
      <c r="A27" s="93" t="s">
        <v>189</v>
      </c>
      <c r="B27" s="95">
        <f>654.4</f>
        <v>654.4</v>
      </c>
    </row>
    <row r="28" spans="1:2" x14ac:dyDescent="0.25">
      <c r="A28" s="93" t="s">
        <v>188</v>
      </c>
      <c r="B28" s="95">
        <f>250</f>
        <v>250</v>
      </c>
    </row>
    <row r="29" spans="1:2" x14ac:dyDescent="0.25">
      <c r="A29" s="93" t="s">
        <v>187</v>
      </c>
      <c r="B29" s="95">
        <f>190.34</f>
        <v>190.34</v>
      </c>
    </row>
    <row r="30" spans="1:2" x14ac:dyDescent="0.25">
      <c r="A30" s="93" t="s">
        <v>186</v>
      </c>
      <c r="B30" s="95">
        <f>101.92</f>
        <v>101.92</v>
      </c>
    </row>
    <row r="31" spans="1:2" x14ac:dyDescent="0.25">
      <c r="A31" s="93" t="s">
        <v>185</v>
      </c>
      <c r="B31" s="95">
        <f>719.17</f>
        <v>719.17</v>
      </c>
    </row>
    <row r="32" spans="1:2" x14ac:dyDescent="0.25">
      <c r="A32" s="93" t="s">
        <v>184</v>
      </c>
      <c r="B32" s="95">
        <f>47.94</f>
        <v>47.94</v>
      </c>
    </row>
    <row r="33" spans="1:2" x14ac:dyDescent="0.25">
      <c r="A33" s="93" t="s">
        <v>183</v>
      </c>
      <c r="B33" s="95">
        <f>0</f>
        <v>0</v>
      </c>
    </row>
    <row r="34" spans="1:2" x14ac:dyDescent="0.25">
      <c r="A34" s="93" t="s">
        <v>182</v>
      </c>
      <c r="B34" s="95">
        <f>354.9</f>
        <v>354.9</v>
      </c>
    </row>
    <row r="35" spans="1:2" x14ac:dyDescent="0.25">
      <c r="A35" s="93" t="s">
        <v>181</v>
      </c>
      <c r="B35" s="95">
        <f>848.2</f>
        <v>848.2</v>
      </c>
    </row>
    <row r="36" spans="1:2" x14ac:dyDescent="0.25">
      <c r="A36" s="93" t="s">
        <v>180</v>
      </c>
      <c r="B36" s="95">
        <f>384.9</f>
        <v>384.9</v>
      </c>
    </row>
    <row r="37" spans="1:2" x14ac:dyDescent="0.25">
      <c r="A37" s="93" t="s">
        <v>179</v>
      </c>
      <c r="B37" s="95">
        <f>406.15</f>
        <v>406.15</v>
      </c>
    </row>
    <row r="38" spans="1:2" x14ac:dyDescent="0.25">
      <c r="A38" s="93" t="s">
        <v>178</v>
      </c>
      <c r="B38" s="95">
        <f>450</f>
        <v>450</v>
      </c>
    </row>
    <row r="39" spans="1:2" x14ac:dyDescent="0.25">
      <c r="A39" s="93" t="s">
        <v>177</v>
      </c>
      <c r="B39" s="95">
        <f>120</f>
        <v>120</v>
      </c>
    </row>
    <row r="40" spans="1:2" x14ac:dyDescent="0.25">
      <c r="A40" s="93" t="s">
        <v>176</v>
      </c>
      <c r="B40" s="94">
        <f>((((((B33)+(B34))+(B35))+(B36))+(B37))+(B38))+(B39)</f>
        <v>2564.15</v>
      </c>
    </row>
    <row r="41" spans="1:2" x14ac:dyDescent="0.25">
      <c r="A41" s="93" t="s">
        <v>175</v>
      </c>
      <c r="B41" s="95">
        <f>4710.63</f>
        <v>4710.63</v>
      </c>
    </row>
    <row r="42" spans="1:2" x14ac:dyDescent="0.25">
      <c r="A42" s="93" t="s">
        <v>174</v>
      </c>
      <c r="B42" s="95">
        <f>335</f>
        <v>335</v>
      </c>
    </row>
    <row r="43" spans="1:2" x14ac:dyDescent="0.25">
      <c r="A43" s="93" t="s">
        <v>173</v>
      </c>
      <c r="B43" s="95">
        <f>33.57</f>
        <v>33.57</v>
      </c>
    </row>
    <row r="44" spans="1:2" x14ac:dyDescent="0.25">
      <c r="A44" s="93" t="s">
        <v>172</v>
      </c>
      <c r="B44" s="95">
        <f>2214.98</f>
        <v>2214.98</v>
      </c>
    </row>
    <row r="45" spans="1:2" x14ac:dyDescent="0.25">
      <c r="A45" s="93" t="s">
        <v>171</v>
      </c>
      <c r="B45" s="95">
        <f>10.63</f>
        <v>10.63</v>
      </c>
    </row>
    <row r="46" spans="1:2" x14ac:dyDescent="0.25">
      <c r="A46" s="93" t="s">
        <v>170</v>
      </c>
      <c r="B46" s="95">
        <f>502.7</f>
        <v>502.7</v>
      </c>
    </row>
    <row r="47" spans="1:2" x14ac:dyDescent="0.25">
      <c r="A47" s="93" t="s">
        <v>169</v>
      </c>
      <c r="B47" s="95">
        <f>9.5</f>
        <v>9.5</v>
      </c>
    </row>
    <row r="48" spans="1:2" x14ac:dyDescent="0.25">
      <c r="A48" s="93" t="s">
        <v>168</v>
      </c>
      <c r="B48" s="95">
        <f>117.74</f>
        <v>117.74</v>
      </c>
    </row>
    <row r="49" spans="1:2" x14ac:dyDescent="0.25">
      <c r="A49" s="93" t="s">
        <v>167</v>
      </c>
      <c r="B49" s="95">
        <f>395.34</f>
        <v>395.34</v>
      </c>
    </row>
    <row r="50" spans="1:2" x14ac:dyDescent="0.25">
      <c r="A50" s="93" t="s">
        <v>166</v>
      </c>
      <c r="B50" s="95">
        <f>460.68</f>
        <v>460.68</v>
      </c>
    </row>
    <row r="51" spans="1:2" x14ac:dyDescent="0.25">
      <c r="A51" s="93" t="s">
        <v>165</v>
      </c>
      <c r="B51" s="95">
        <f>6048.22</f>
        <v>6048.22</v>
      </c>
    </row>
    <row r="52" spans="1:2" x14ac:dyDescent="0.25">
      <c r="A52" s="93" t="s">
        <v>164</v>
      </c>
      <c r="B52" s="95">
        <f>280.78</f>
        <v>280.77999999999997</v>
      </c>
    </row>
    <row r="53" spans="1:2" x14ac:dyDescent="0.25">
      <c r="A53" s="93" t="s">
        <v>163</v>
      </c>
      <c r="B53" s="95">
        <f>756.36</f>
        <v>756.36</v>
      </c>
    </row>
    <row r="54" spans="1:2" x14ac:dyDescent="0.25">
      <c r="A54" s="93" t="s">
        <v>162</v>
      </c>
      <c r="B54" s="95">
        <f>390.35</f>
        <v>390.35</v>
      </c>
    </row>
    <row r="55" spans="1:2" x14ac:dyDescent="0.25">
      <c r="A55" s="93" t="s">
        <v>161</v>
      </c>
      <c r="B55" s="95">
        <f>455.85</f>
        <v>455.85</v>
      </c>
    </row>
    <row r="56" spans="1:2" x14ac:dyDescent="0.25">
      <c r="A56" s="93" t="s">
        <v>160</v>
      </c>
      <c r="B56" s="95">
        <f>140</f>
        <v>140</v>
      </c>
    </row>
    <row r="57" spans="1:2" x14ac:dyDescent="0.25">
      <c r="A57" s="93" t="s">
        <v>159</v>
      </c>
      <c r="B57" s="95">
        <f>3357.59</f>
        <v>3357.59</v>
      </c>
    </row>
    <row r="58" spans="1:2" x14ac:dyDescent="0.25">
      <c r="A58" s="93" t="s">
        <v>158</v>
      </c>
      <c r="B58" s="95">
        <f>66</f>
        <v>66</v>
      </c>
    </row>
    <row r="59" spans="1:2" x14ac:dyDescent="0.25">
      <c r="A59" s="93" t="s">
        <v>157</v>
      </c>
      <c r="B59" s="95">
        <f>100</f>
        <v>100</v>
      </c>
    </row>
    <row r="60" spans="1:2" x14ac:dyDescent="0.25">
      <c r="A60" s="93" t="s">
        <v>89</v>
      </c>
      <c r="B60" s="94">
        <f>(((((((((((((((((((((((((((((((B21)+(B22))+(B23))+(B24))+(B25))+(B26))+(B27))+(B28))+(B29))+(B30))+(B31))+(B32))+(B40))+(B41))+(B42))+(B43))+(B44))+(B45))+(B46))+(B47))+(B48))+(B49))+(B50))+(B51))+(B52))+(B53))+(B54))+(B55))+(B56))+(B57))+(B58))+(B59)</f>
        <v>28571.909999999996</v>
      </c>
    </row>
    <row r="61" spans="1:2" x14ac:dyDescent="0.25">
      <c r="A61" s="93" t="s">
        <v>90</v>
      </c>
      <c r="B61" s="94">
        <f>(B19)-(B60)</f>
        <v>20059.150000000009</v>
      </c>
    </row>
    <row r="62" spans="1:2" x14ac:dyDescent="0.25">
      <c r="A62" s="93" t="s">
        <v>91</v>
      </c>
      <c r="B62" s="92"/>
    </row>
    <row r="63" spans="1:2" x14ac:dyDescent="0.25">
      <c r="A63" s="93" t="s">
        <v>92</v>
      </c>
      <c r="B63" s="95">
        <f>19.54</f>
        <v>19.54</v>
      </c>
    </row>
    <row r="64" spans="1:2" x14ac:dyDescent="0.25">
      <c r="A64" s="93" t="s">
        <v>93</v>
      </c>
      <c r="B64" s="95">
        <f>1.45</f>
        <v>1.45</v>
      </c>
    </row>
    <row r="65" spans="1:2" x14ac:dyDescent="0.25">
      <c r="A65" s="93" t="s">
        <v>94</v>
      </c>
      <c r="B65" s="94">
        <f>(B63)+(B64)</f>
        <v>20.99</v>
      </c>
    </row>
    <row r="66" spans="1:2" x14ac:dyDescent="0.25">
      <c r="A66" s="93" t="s">
        <v>95</v>
      </c>
      <c r="B66" s="94">
        <f>(B65)-(0)</f>
        <v>20.99</v>
      </c>
    </row>
    <row r="67" spans="1:2" x14ac:dyDescent="0.25">
      <c r="A67" s="93" t="s">
        <v>96</v>
      </c>
      <c r="B67" s="94">
        <f>(B61)+(B66)</f>
        <v>20080.14000000001</v>
      </c>
    </row>
    <row r="68" spans="1:2" x14ac:dyDescent="0.25">
      <c r="A68" s="185" t="s">
        <v>324</v>
      </c>
      <c r="B68" s="186"/>
    </row>
  </sheetData>
  <mergeCells count="4">
    <mergeCell ref="A68:B68"/>
    <mergeCell ref="A1:B1"/>
    <mergeCell ref="A2:B2"/>
    <mergeCell ref="A3:B3"/>
  </mergeCells>
  <pageMargins left="0.25" right="0.25" top="0.25" bottom="0.25" header="0" footer="0"/>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5E779-50C1-4A2E-9D50-D27B8659DEB2}">
  <sheetPr>
    <pageSetUpPr fitToPage="1"/>
  </sheetPr>
  <dimension ref="A1:M74"/>
  <sheetViews>
    <sheetView workbookViewId="0">
      <selection activeCell="A74" sqref="A1:M74"/>
    </sheetView>
  </sheetViews>
  <sheetFormatPr defaultRowHeight="15" x14ac:dyDescent="0.25"/>
  <cols>
    <col min="1" max="1" width="30.85546875" style="91" customWidth="1"/>
    <col min="2" max="2" width="7.7109375" style="91" customWidth="1"/>
    <col min="3" max="3" width="9.28515625" style="91" bestFit="1" customWidth="1"/>
    <col min="4" max="5" width="8.5703125" style="91" customWidth="1"/>
    <col min="6" max="6" width="9.42578125" style="91" customWidth="1"/>
    <col min="7" max="8" width="8.5703125" style="91" customWidth="1"/>
    <col min="9" max="9" width="10.28515625" style="91" customWidth="1"/>
    <col min="10" max="10" width="8.5703125" style="91" customWidth="1"/>
    <col min="11" max="12" width="10.28515625" style="91" customWidth="1"/>
    <col min="13" max="13" width="9.42578125" style="91" customWidth="1"/>
    <col min="14" max="16384" width="9.140625" style="91"/>
  </cols>
  <sheetData>
    <row r="1" spans="1:13" ht="18" x14ac:dyDescent="0.25">
      <c r="A1" s="187" t="s">
        <v>223</v>
      </c>
      <c r="B1" s="186"/>
      <c r="C1" s="186"/>
      <c r="D1" s="186"/>
      <c r="E1" s="186"/>
      <c r="F1" s="186"/>
      <c r="G1" s="186"/>
      <c r="H1" s="186"/>
      <c r="I1" s="186"/>
      <c r="J1" s="186"/>
      <c r="K1" s="186"/>
      <c r="L1" s="186"/>
      <c r="M1" s="186"/>
    </row>
    <row r="2" spans="1:13" ht="18" x14ac:dyDescent="0.25">
      <c r="A2" s="187" t="s">
        <v>222</v>
      </c>
      <c r="B2" s="186"/>
      <c r="C2" s="186"/>
      <c r="D2" s="186"/>
      <c r="E2" s="186"/>
      <c r="F2" s="186"/>
      <c r="G2" s="186"/>
      <c r="H2" s="186"/>
      <c r="I2" s="186"/>
      <c r="J2" s="186"/>
      <c r="K2" s="186"/>
      <c r="L2" s="186"/>
      <c r="M2" s="186"/>
    </row>
    <row r="3" spans="1:13" x14ac:dyDescent="0.25">
      <c r="A3" s="188" t="s">
        <v>323</v>
      </c>
      <c r="B3" s="186"/>
      <c r="C3" s="186"/>
      <c r="D3" s="186"/>
      <c r="E3" s="186"/>
      <c r="F3" s="186"/>
      <c r="G3" s="186"/>
      <c r="H3" s="186"/>
      <c r="I3" s="186"/>
      <c r="J3" s="186"/>
      <c r="K3" s="186"/>
      <c r="L3" s="186"/>
      <c r="M3" s="186"/>
    </row>
    <row r="5" spans="1:13" ht="24.75" x14ac:dyDescent="0.25">
      <c r="B5" s="96" t="s">
        <v>221</v>
      </c>
      <c r="C5" s="96" t="s">
        <v>220</v>
      </c>
      <c r="D5" s="96" t="s">
        <v>219</v>
      </c>
      <c r="E5" s="96" t="s">
        <v>218</v>
      </c>
      <c r="F5" s="96" t="s">
        <v>217</v>
      </c>
      <c r="G5" s="96" t="s">
        <v>216</v>
      </c>
      <c r="H5" s="96" t="s">
        <v>215</v>
      </c>
      <c r="I5" s="96" t="s">
        <v>214</v>
      </c>
      <c r="J5" s="96" t="s">
        <v>213</v>
      </c>
      <c r="K5" s="96" t="s">
        <v>212</v>
      </c>
      <c r="L5" s="96" t="s">
        <v>322</v>
      </c>
      <c r="M5" s="96" t="s">
        <v>211</v>
      </c>
    </row>
    <row r="6" spans="1:13" x14ac:dyDescent="0.25">
      <c r="A6" s="183" t="s">
        <v>13</v>
      </c>
      <c r="B6" s="92"/>
      <c r="C6" s="92"/>
      <c r="D6" s="92"/>
      <c r="E6" s="92"/>
      <c r="F6" s="92"/>
      <c r="G6" s="92"/>
      <c r="H6" s="92"/>
      <c r="I6" s="92"/>
      <c r="J6" s="92"/>
      <c r="K6" s="92"/>
      <c r="L6" s="92"/>
      <c r="M6" s="92"/>
    </row>
    <row r="7" spans="1:13" x14ac:dyDescent="0.25">
      <c r="A7" s="183" t="s">
        <v>210</v>
      </c>
      <c r="B7" s="95">
        <f>0</f>
        <v>0</v>
      </c>
      <c r="C7" s="95">
        <f>0</f>
        <v>0</v>
      </c>
      <c r="D7" s="95">
        <f>0</f>
        <v>0</v>
      </c>
      <c r="E7" s="95">
        <f>0</f>
        <v>0</v>
      </c>
      <c r="F7" s="95">
        <f>0</f>
        <v>0</v>
      </c>
      <c r="G7" s="95">
        <f>0</f>
        <v>0</v>
      </c>
      <c r="H7" s="95">
        <f>0</f>
        <v>0</v>
      </c>
      <c r="I7" s="95">
        <f>0</f>
        <v>0</v>
      </c>
      <c r="J7" s="95">
        <f>407.2</f>
        <v>407.2</v>
      </c>
      <c r="K7" s="95">
        <f>0</f>
        <v>0</v>
      </c>
      <c r="L7" s="95">
        <f>0</f>
        <v>0</v>
      </c>
      <c r="M7" s="95">
        <f t="shared" ref="M7:M22" si="0">((((((((((B7)+(C7))+(D7))+(E7))+(F7))+(G7))+(H7))+(I7))+(J7))+(K7))+(L7)</f>
        <v>407.2</v>
      </c>
    </row>
    <row r="8" spans="1:13" x14ac:dyDescent="0.25">
      <c r="A8" s="183" t="s">
        <v>209</v>
      </c>
      <c r="B8" s="95">
        <f>0</f>
        <v>0</v>
      </c>
      <c r="C8" s="95">
        <f>0</f>
        <v>0</v>
      </c>
      <c r="D8" s="95">
        <f>0</f>
        <v>0</v>
      </c>
      <c r="E8" s="95">
        <f>2670.21</f>
        <v>2670.21</v>
      </c>
      <c r="F8" s="95">
        <f>-1252.38</f>
        <v>-1252.3800000000001</v>
      </c>
      <c r="G8" s="95">
        <f>0</f>
        <v>0</v>
      </c>
      <c r="H8" s="95">
        <f>0</f>
        <v>0</v>
      </c>
      <c r="I8" s="95">
        <f>0</f>
        <v>0</v>
      </c>
      <c r="J8" s="95">
        <f>0</f>
        <v>0</v>
      </c>
      <c r="K8" s="95">
        <f>0</f>
        <v>0</v>
      </c>
      <c r="L8" s="95">
        <f>1486.02</f>
        <v>1486.02</v>
      </c>
      <c r="M8" s="95">
        <f t="shared" si="0"/>
        <v>2903.85</v>
      </c>
    </row>
    <row r="9" spans="1:13" x14ac:dyDescent="0.25">
      <c r="A9" s="183" t="s">
        <v>208</v>
      </c>
      <c r="B9" s="95">
        <f>0</f>
        <v>0</v>
      </c>
      <c r="C9" s="95">
        <f>0</f>
        <v>0</v>
      </c>
      <c r="D9" s="95">
        <f>0</f>
        <v>0</v>
      </c>
      <c r="E9" s="95">
        <f>0</f>
        <v>0</v>
      </c>
      <c r="F9" s="95">
        <f>0</f>
        <v>0</v>
      </c>
      <c r="G9" s="95">
        <f>0</f>
        <v>0</v>
      </c>
      <c r="H9" s="95">
        <f>1900</f>
        <v>1900</v>
      </c>
      <c r="I9" s="95">
        <f>0</f>
        <v>0</v>
      </c>
      <c r="J9" s="95">
        <f>0</f>
        <v>0</v>
      </c>
      <c r="K9" s="95">
        <f>0</f>
        <v>0</v>
      </c>
      <c r="L9" s="95">
        <v>700</v>
      </c>
      <c r="M9" s="95">
        <f t="shared" si="0"/>
        <v>2600</v>
      </c>
    </row>
    <row r="10" spans="1:13" x14ac:dyDescent="0.25">
      <c r="A10" s="183" t="s">
        <v>207</v>
      </c>
      <c r="B10" s="95">
        <f>0</f>
        <v>0</v>
      </c>
      <c r="C10" s="95">
        <f>0</f>
        <v>0</v>
      </c>
      <c r="D10" s="95">
        <f>0</f>
        <v>0</v>
      </c>
      <c r="E10" s="95">
        <f>0</f>
        <v>0</v>
      </c>
      <c r="F10" s="95">
        <f>0</f>
        <v>0</v>
      </c>
      <c r="G10" s="95">
        <f>0</f>
        <v>0</v>
      </c>
      <c r="H10" s="95">
        <f>124.9</f>
        <v>124.9</v>
      </c>
      <c r="I10" s="95">
        <f>0</f>
        <v>0</v>
      </c>
      <c r="J10" s="95">
        <f>0</f>
        <v>0</v>
      </c>
      <c r="K10" s="95">
        <f>0</f>
        <v>0</v>
      </c>
      <c r="L10" s="95">
        <f>0</f>
        <v>0</v>
      </c>
      <c r="M10" s="95">
        <f t="shared" si="0"/>
        <v>124.9</v>
      </c>
    </row>
    <row r="11" spans="1:13" x14ac:dyDescent="0.25">
      <c r="A11" s="183" t="s">
        <v>205</v>
      </c>
      <c r="B11" s="95">
        <f>0</f>
        <v>0</v>
      </c>
      <c r="C11" s="95">
        <f>0</f>
        <v>0</v>
      </c>
      <c r="D11" s="95">
        <f>0</f>
        <v>0</v>
      </c>
      <c r="E11" s="95">
        <f>2402.56</f>
        <v>2402.56</v>
      </c>
      <c r="F11" s="95">
        <f>26780.51</f>
        <v>26780.51</v>
      </c>
      <c r="G11" s="95">
        <f>145.65</f>
        <v>145.65</v>
      </c>
      <c r="H11" s="95">
        <f>0</f>
        <v>0</v>
      </c>
      <c r="I11" s="95">
        <f>0</f>
        <v>0</v>
      </c>
      <c r="J11" s="95">
        <f>0</f>
        <v>0</v>
      </c>
      <c r="K11" s="95">
        <f>0</f>
        <v>0</v>
      </c>
      <c r="L11" s="95">
        <f>0</f>
        <v>0</v>
      </c>
      <c r="M11" s="95">
        <f t="shared" si="0"/>
        <v>29328.720000000001</v>
      </c>
    </row>
    <row r="12" spans="1:13" x14ac:dyDescent="0.25">
      <c r="A12" s="183" t="s">
        <v>204</v>
      </c>
      <c r="B12" s="95">
        <f>0</f>
        <v>0</v>
      </c>
      <c r="C12" s="95">
        <f>0</f>
        <v>0</v>
      </c>
      <c r="D12" s="95">
        <f>0</f>
        <v>0</v>
      </c>
      <c r="E12" s="95">
        <f>20</f>
        <v>20</v>
      </c>
      <c r="F12" s="95">
        <f>148.01</f>
        <v>148.01</v>
      </c>
      <c r="G12" s="95">
        <f>625</f>
        <v>625</v>
      </c>
      <c r="H12" s="95">
        <f>700</f>
        <v>700</v>
      </c>
      <c r="I12" s="95">
        <f>150</f>
        <v>150</v>
      </c>
      <c r="J12" s="95">
        <f>51.52</f>
        <v>51.52</v>
      </c>
      <c r="K12" s="95">
        <f>51.52</f>
        <v>51.52</v>
      </c>
      <c r="L12" s="95">
        <f>0</f>
        <v>0</v>
      </c>
      <c r="M12" s="95">
        <f t="shared" si="0"/>
        <v>1746.05</v>
      </c>
    </row>
    <row r="13" spans="1:13" x14ac:dyDescent="0.25">
      <c r="A13" s="183" t="s">
        <v>203</v>
      </c>
      <c r="B13" s="95">
        <f>0</f>
        <v>0</v>
      </c>
      <c r="C13" s="95">
        <f>0</f>
        <v>0</v>
      </c>
      <c r="D13" s="95">
        <f>0</f>
        <v>0</v>
      </c>
      <c r="E13" s="95">
        <f>0</f>
        <v>0</v>
      </c>
      <c r="F13" s="95">
        <f>0</f>
        <v>0</v>
      </c>
      <c r="G13" s="95">
        <f>0</f>
        <v>0</v>
      </c>
      <c r="H13" s="95">
        <f>0</f>
        <v>0</v>
      </c>
      <c r="I13" s="95">
        <f>0</f>
        <v>0</v>
      </c>
      <c r="J13" s="95">
        <f>249.55</f>
        <v>249.55</v>
      </c>
      <c r="K13" s="95">
        <f>0</f>
        <v>0</v>
      </c>
      <c r="L13" s="95">
        <f>0</f>
        <v>0</v>
      </c>
      <c r="M13" s="95">
        <f t="shared" si="0"/>
        <v>249.55</v>
      </c>
    </row>
    <row r="14" spans="1:13" x14ac:dyDescent="0.25">
      <c r="A14" s="183" t="s">
        <v>320</v>
      </c>
      <c r="B14" s="95">
        <f>0</f>
        <v>0</v>
      </c>
      <c r="C14" s="95">
        <f>0</f>
        <v>0</v>
      </c>
      <c r="D14" s="95">
        <f>0</f>
        <v>0</v>
      </c>
      <c r="E14" s="95">
        <f>0</f>
        <v>0</v>
      </c>
      <c r="F14" s="95">
        <f>0</f>
        <v>0</v>
      </c>
      <c r="G14" s="95">
        <f>0</f>
        <v>0</v>
      </c>
      <c r="H14" s="95">
        <f>233.95</f>
        <v>233.95</v>
      </c>
      <c r="I14" s="95">
        <f>0</f>
        <v>0</v>
      </c>
      <c r="J14" s="95">
        <f>0</f>
        <v>0</v>
      </c>
      <c r="K14" s="95">
        <f>0</f>
        <v>0</v>
      </c>
      <c r="L14" s="95">
        <f>756.44+1711.5</f>
        <v>2467.94</v>
      </c>
      <c r="M14" s="95">
        <f t="shared" si="0"/>
        <v>2701.89</v>
      </c>
    </row>
    <row r="15" spans="1:13" x14ac:dyDescent="0.25">
      <c r="A15" s="183" t="s">
        <v>202</v>
      </c>
      <c r="B15" s="95">
        <f>0</f>
        <v>0</v>
      </c>
      <c r="C15" s="95">
        <f>0</f>
        <v>0</v>
      </c>
      <c r="D15" s="95">
        <f>0</f>
        <v>0</v>
      </c>
      <c r="E15" s="95">
        <f>0</f>
        <v>0</v>
      </c>
      <c r="F15" s="95">
        <f>0</f>
        <v>0</v>
      </c>
      <c r="G15" s="95">
        <f>0</f>
        <v>0</v>
      </c>
      <c r="H15" s="95">
        <f>0</f>
        <v>0</v>
      </c>
      <c r="I15" s="95">
        <f>0</f>
        <v>0</v>
      </c>
      <c r="J15" s="95">
        <f>0</f>
        <v>0</v>
      </c>
      <c r="K15" s="95">
        <f>0</f>
        <v>0</v>
      </c>
      <c r="L15" s="95">
        <f>0</f>
        <v>0</v>
      </c>
      <c r="M15" s="95">
        <f t="shared" si="0"/>
        <v>0</v>
      </c>
    </row>
    <row r="16" spans="1:13" x14ac:dyDescent="0.25">
      <c r="A16" s="183" t="s">
        <v>201</v>
      </c>
      <c r="B16" s="95">
        <f>0</f>
        <v>0</v>
      </c>
      <c r="C16" s="95">
        <f>0</f>
        <v>0</v>
      </c>
      <c r="D16" s="95">
        <f>148.45</f>
        <v>148.44999999999999</v>
      </c>
      <c r="E16" s="95">
        <f>0</f>
        <v>0</v>
      </c>
      <c r="F16" s="95">
        <f>120.71</f>
        <v>120.71</v>
      </c>
      <c r="G16" s="95">
        <f>0</f>
        <v>0</v>
      </c>
      <c r="H16" s="95">
        <f>0</f>
        <v>0</v>
      </c>
      <c r="I16" s="95">
        <f>157.13</f>
        <v>157.13</v>
      </c>
      <c r="J16" s="95">
        <f>0</f>
        <v>0</v>
      </c>
      <c r="K16" s="95">
        <f>0</f>
        <v>0</v>
      </c>
      <c r="L16" s="95">
        <f>79.64</f>
        <v>79.64</v>
      </c>
      <c r="M16" s="95">
        <f t="shared" si="0"/>
        <v>505.92999999999995</v>
      </c>
    </row>
    <row r="17" spans="1:13" x14ac:dyDescent="0.25">
      <c r="A17" s="183" t="s">
        <v>200</v>
      </c>
      <c r="B17" s="95">
        <f>0</f>
        <v>0</v>
      </c>
      <c r="C17" s="95">
        <f>0</f>
        <v>0</v>
      </c>
      <c r="D17" s="95">
        <f>109.81</f>
        <v>109.81</v>
      </c>
      <c r="E17" s="95">
        <f>0</f>
        <v>0</v>
      </c>
      <c r="F17" s="95">
        <f>108.22</f>
        <v>108.22</v>
      </c>
      <c r="G17" s="95">
        <f>0</f>
        <v>0</v>
      </c>
      <c r="H17" s="95">
        <f>0</f>
        <v>0</v>
      </c>
      <c r="I17" s="95">
        <f>118.33</f>
        <v>118.33</v>
      </c>
      <c r="J17" s="95">
        <f>0</f>
        <v>0</v>
      </c>
      <c r="K17" s="95">
        <f>0</f>
        <v>0</v>
      </c>
      <c r="L17" s="95">
        <f>123.45</f>
        <v>123.45</v>
      </c>
      <c r="M17" s="95">
        <f t="shared" si="0"/>
        <v>459.81</v>
      </c>
    </row>
    <row r="18" spans="1:13" x14ac:dyDescent="0.25">
      <c r="A18" s="183" t="s">
        <v>199</v>
      </c>
      <c r="B18" s="94">
        <f t="shared" ref="B18:L18" si="1">((B15)+(B16))+(B17)</f>
        <v>0</v>
      </c>
      <c r="C18" s="94">
        <f t="shared" si="1"/>
        <v>0</v>
      </c>
      <c r="D18" s="94">
        <f t="shared" si="1"/>
        <v>258.26</v>
      </c>
      <c r="E18" s="94">
        <f t="shared" si="1"/>
        <v>0</v>
      </c>
      <c r="F18" s="94">
        <f t="shared" si="1"/>
        <v>228.93</v>
      </c>
      <c r="G18" s="94">
        <f t="shared" si="1"/>
        <v>0</v>
      </c>
      <c r="H18" s="94">
        <f t="shared" si="1"/>
        <v>0</v>
      </c>
      <c r="I18" s="94">
        <f t="shared" si="1"/>
        <v>275.45999999999998</v>
      </c>
      <c r="J18" s="94">
        <f t="shared" si="1"/>
        <v>0</v>
      </c>
      <c r="K18" s="94">
        <f t="shared" si="1"/>
        <v>0</v>
      </c>
      <c r="L18" s="94">
        <f t="shared" si="1"/>
        <v>203.09</v>
      </c>
      <c r="M18" s="94">
        <f t="shared" si="0"/>
        <v>965.74</v>
      </c>
    </row>
    <row r="19" spans="1:13" x14ac:dyDescent="0.25">
      <c r="A19" s="183" t="s">
        <v>198</v>
      </c>
      <c r="B19" s="95">
        <f>0</f>
        <v>0</v>
      </c>
      <c r="C19" s="95">
        <f>0</f>
        <v>0</v>
      </c>
      <c r="D19" s="95">
        <f>7369.83</f>
        <v>7369.83</v>
      </c>
      <c r="E19" s="95">
        <f>0</f>
        <v>0</v>
      </c>
      <c r="F19" s="95">
        <f>0</f>
        <v>0</v>
      </c>
      <c r="G19" s="95">
        <f>0</f>
        <v>0</v>
      </c>
      <c r="H19" s="95">
        <f>0</f>
        <v>0</v>
      </c>
      <c r="I19" s="95">
        <f>0</f>
        <v>0</v>
      </c>
      <c r="J19" s="95">
        <f>0</f>
        <v>0</v>
      </c>
      <c r="K19" s="95">
        <f>0</f>
        <v>0</v>
      </c>
      <c r="L19" s="95">
        <f>0</f>
        <v>0</v>
      </c>
      <c r="M19" s="95">
        <f t="shared" si="0"/>
        <v>7369.83</v>
      </c>
    </row>
    <row r="20" spans="1:13" x14ac:dyDescent="0.25">
      <c r="A20" s="183" t="s">
        <v>197</v>
      </c>
      <c r="B20" s="95">
        <f>0</f>
        <v>0</v>
      </c>
      <c r="C20" s="95">
        <f>0</f>
        <v>0</v>
      </c>
      <c r="D20" s="95">
        <f>0</f>
        <v>0</v>
      </c>
      <c r="E20" s="95">
        <f>0</f>
        <v>0</v>
      </c>
      <c r="F20" s="95">
        <f>0</f>
        <v>0</v>
      </c>
      <c r="G20" s="95">
        <f>0</f>
        <v>0</v>
      </c>
      <c r="H20" s="95">
        <f>0</f>
        <v>0</v>
      </c>
      <c r="I20" s="95">
        <f>0</f>
        <v>0</v>
      </c>
      <c r="J20" s="95">
        <f>0</f>
        <v>0</v>
      </c>
      <c r="K20" s="95">
        <f>0</f>
        <v>0</v>
      </c>
      <c r="L20" s="95">
        <f>233.33</f>
        <v>233.33</v>
      </c>
      <c r="M20" s="95">
        <f t="shared" si="0"/>
        <v>233.33</v>
      </c>
    </row>
    <row r="21" spans="1:13" x14ac:dyDescent="0.25">
      <c r="A21" s="183" t="s">
        <v>28</v>
      </c>
      <c r="B21" s="94">
        <f t="shared" ref="B21:L21" si="2">((((((((((B7)+(B8))+(B9))+(B10))+(B11))+(B12))+(B13))+(B14))+(B18))+(B19))+(B20)</f>
        <v>0</v>
      </c>
      <c r="C21" s="94">
        <f t="shared" si="2"/>
        <v>0</v>
      </c>
      <c r="D21" s="94">
        <f t="shared" si="2"/>
        <v>7628.09</v>
      </c>
      <c r="E21" s="94">
        <f t="shared" si="2"/>
        <v>5092.7700000000004</v>
      </c>
      <c r="F21" s="94">
        <f t="shared" si="2"/>
        <v>25905.069999999996</v>
      </c>
      <c r="G21" s="94">
        <f t="shared" si="2"/>
        <v>770.65</v>
      </c>
      <c r="H21" s="94">
        <f t="shared" si="2"/>
        <v>2958.85</v>
      </c>
      <c r="I21" s="94">
        <f t="shared" si="2"/>
        <v>425.46</v>
      </c>
      <c r="J21" s="94">
        <f t="shared" si="2"/>
        <v>708.27</v>
      </c>
      <c r="K21" s="94">
        <f t="shared" si="2"/>
        <v>51.52</v>
      </c>
      <c r="L21" s="94">
        <f t="shared" si="2"/>
        <v>5090.38</v>
      </c>
      <c r="M21" s="94">
        <f t="shared" si="0"/>
        <v>48631.059999999983</v>
      </c>
    </row>
    <row r="22" spans="1:13" x14ac:dyDescent="0.25">
      <c r="A22" s="183" t="s">
        <v>196</v>
      </c>
      <c r="B22" s="94">
        <f t="shared" ref="B22:L22" si="3">(B21)-(0)</f>
        <v>0</v>
      </c>
      <c r="C22" s="94">
        <f t="shared" si="3"/>
        <v>0</v>
      </c>
      <c r="D22" s="94">
        <f t="shared" si="3"/>
        <v>7628.09</v>
      </c>
      <c r="E22" s="94">
        <f t="shared" si="3"/>
        <v>5092.7700000000004</v>
      </c>
      <c r="F22" s="94">
        <f t="shared" si="3"/>
        <v>25905.069999999996</v>
      </c>
      <c r="G22" s="94">
        <f t="shared" si="3"/>
        <v>770.65</v>
      </c>
      <c r="H22" s="94">
        <f t="shared" si="3"/>
        <v>2958.85</v>
      </c>
      <c r="I22" s="94">
        <f t="shared" si="3"/>
        <v>425.46</v>
      </c>
      <c r="J22" s="94">
        <f t="shared" si="3"/>
        <v>708.27</v>
      </c>
      <c r="K22" s="94">
        <f t="shared" si="3"/>
        <v>51.52</v>
      </c>
      <c r="L22" s="94">
        <f t="shared" si="3"/>
        <v>5090.38</v>
      </c>
      <c r="M22" s="94">
        <f t="shared" si="0"/>
        <v>48631.059999999983</v>
      </c>
    </row>
    <row r="23" spans="1:13" x14ac:dyDescent="0.25">
      <c r="A23" s="183" t="s">
        <v>29</v>
      </c>
      <c r="B23" s="92"/>
      <c r="C23" s="92"/>
      <c r="D23" s="92"/>
      <c r="E23" s="92"/>
      <c r="F23" s="92"/>
      <c r="G23" s="92"/>
      <c r="H23" s="92"/>
      <c r="I23" s="92"/>
      <c r="J23" s="92"/>
      <c r="K23" s="92"/>
      <c r="L23" s="92"/>
      <c r="M23" s="92"/>
    </row>
    <row r="24" spans="1:13" x14ac:dyDescent="0.25">
      <c r="A24" s="183" t="s">
        <v>195</v>
      </c>
      <c r="B24" s="95">
        <f>0</f>
        <v>0</v>
      </c>
      <c r="C24" s="95">
        <f>0</f>
        <v>0</v>
      </c>
      <c r="D24" s="95">
        <f>0</f>
        <v>0</v>
      </c>
      <c r="E24" s="95">
        <f>0</f>
        <v>0</v>
      </c>
      <c r="F24" s="95">
        <f>0</f>
        <v>0</v>
      </c>
      <c r="G24" s="95">
        <f>0</f>
        <v>0</v>
      </c>
      <c r="H24" s="95">
        <f>0</f>
        <v>0</v>
      </c>
      <c r="I24" s="95">
        <f>0</f>
        <v>0</v>
      </c>
      <c r="J24" s="95">
        <f>0</f>
        <v>0</v>
      </c>
      <c r="K24" s="95">
        <f>500</f>
        <v>500</v>
      </c>
      <c r="L24" s="95">
        <f>0</f>
        <v>0</v>
      </c>
      <c r="M24" s="95">
        <f t="shared" ref="M24:M64" si="4">((((((((((B24)+(C24))+(D24))+(E24))+(F24))+(G24))+(H24))+(I24))+(J24))+(K24))+(L24)</f>
        <v>500</v>
      </c>
    </row>
    <row r="25" spans="1:13" x14ac:dyDescent="0.25">
      <c r="A25" s="183" t="s">
        <v>194</v>
      </c>
      <c r="B25" s="95">
        <f>0</f>
        <v>0</v>
      </c>
      <c r="C25" s="95">
        <f>0</f>
        <v>0</v>
      </c>
      <c r="D25" s="95">
        <f>0</f>
        <v>0</v>
      </c>
      <c r="E25" s="95">
        <f>0</f>
        <v>0</v>
      </c>
      <c r="F25" s="95">
        <f>150</f>
        <v>150</v>
      </c>
      <c r="G25" s="95">
        <f>0</f>
        <v>0</v>
      </c>
      <c r="H25" s="95">
        <f>0</f>
        <v>0</v>
      </c>
      <c r="I25" s="95">
        <f>0</f>
        <v>0</v>
      </c>
      <c r="J25" s="95">
        <f>0</f>
        <v>0</v>
      </c>
      <c r="K25" s="95">
        <f>0</f>
        <v>0</v>
      </c>
      <c r="L25" s="95">
        <f>398.55</f>
        <v>398.55</v>
      </c>
      <c r="M25" s="95">
        <f t="shared" si="4"/>
        <v>548.54999999999995</v>
      </c>
    </row>
    <row r="26" spans="1:13" x14ac:dyDescent="0.25">
      <c r="A26" s="183" t="s">
        <v>193</v>
      </c>
      <c r="B26" s="95">
        <f>0</f>
        <v>0</v>
      </c>
      <c r="C26" s="95">
        <f>0</f>
        <v>0</v>
      </c>
      <c r="D26" s="95">
        <f>0</f>
        <v>0</v>
      </c>
      <c r="E26" s="95">
        <f>0</f>
        <v>0</v>
      </c>
      <c r="F26" s="95">
        <f>0</f>
        <v>0</v>
      </c>
      <c r="G26" s="95">
        <f>0</f>
        <v>0</v>
      </c>
      <c r="H26" s="95">
        <f>0</f>
        <v>0</v>
      </c>
      <c r="I26" s="95">
        <f>0</f>
        <v>0</v>
      </c>
      <c r="J26" s="95">
        <f>0</f>
        <v>0</v>
      </c>
      <c r="K26" s="95">
        <f>800</f>
        <v>800</v>
      </c>
      <c r="L26" s="95">
        <f>0</f>
        <v>0</v>
      </c>
      <c r="M26" s="95">
        <f t="shared" si="4"/>
        <v>800</v>
      </c>
    </row>
    <row r="27" spans="1:13" x14ac:dyDescent="0.25">
      <c r="A27" s="183" t="s">
        <v>192</v>
      </c>
      <c r="B27" s="95">
        <f>0</f>
        <v>0</v>
      </c>
      <c r="C27" s="95">
        <f>0</f>
        <v>0</v>
      </c>
      <c r="D27" s="95">
        <f>65</f>
        <v>65</v>
      </c>
      <c r="E27" s="95">
        <f>0</f>
        <v>0</v>
      </c>
      <c r="F27" s="95">
        <f>0</f>
        <v>0</v>
      </c>
      <c r="G27" s="95">
        <f>858.05</f>
        <v>858.05</v>
      </c>
      <c r="H27" s="95">
        <f>0</f>
        <v>0</v>
      </c>
      <c r="I27" s="95">
        <f>283.54</f>
        <v>283.54000000000002</v>
      </c>
      <c r="J27" s="95">
        <f>0</f>
        <v>0</v>
      </c>
      <c r="K27" s="95">
        <f>0</f>
        <v>0</v>
      </c>
      <c r="L27" s="95">
        <f>41.73</f>
        <v>41.73</v>
      </c>
      <c r="M27" s="95">
        <f t="shared" si="4"/>
        <v>1248.32</v>
      </c>
    </row>
    <row r="28" spans="1:13" x14ac:dyDescent="0.25">
      <c r="A28" s="183" t="s">
        <v>191</v>
      </c>
      <c r="B28" s="95">
        <f>0</f>
        <v>0</v>
      </c>
      <c r="C28" s="95">
        <f>0</f>
        <v>0</v>
      </c>
      <c r="D28" s="95">
        <f>0</f>
        <v>0</v>
      </c>
      <c r="E28" s="95">
        <f>0</f>
        <v>0</v>
      </c>
      <c r="F28" s="95">
        <f>0</f>
        <v>0</v>
      </c>
      <c r="G28" s="95">
        <f>0</f>
        <v>0</v>
      </c>
      <c r="H28" s="95">
        <f>286</f>
        <v>286</v>
      </c>
      <c r="I28" s="95">
        <f>0</f>
        <v>0</v>
      </c>
      <c r="J28" s="95">
        <f>0</f>
        <v>0</v>
      </c>
      <c r="K28" s="95">
        <f>0</f>
        <v>0</v>
      </c>
      <c r="L28" s="95">
        <f>0</f>
        <v>0</v>
      </c>
      <c r="M28" s="95">
        <f t="shared" si="4"/>
        <v>286</v>
      </c>
    </row>
    <row r="29" spans="1:13" x14ac:dyDescent="0.25">
      <c r="A29" s="183" t="s">
        <v>190</v>
      </c>
      <c r="B29" s="95">
        <f>0</f>
        <v>0</v>
      </c>
      <c r="C29" s="95">
        <f>0</f>
        <v>0</v>
      </c>
      <c r="D29" s="95">
        <f>0</f>
        <v>0</v>
      </c>
      <c r="E29" s="95">
        <f>0</f>
        <v>0</v>
      </c>
      <c r="F29" s="95">
        <f>0</f>
        <v>0</v>
      </c>
      <c r="G29" s="95">
        <f>211.2</f>
        <v>211.2</v>
      </c>
      <c r="H29" s="95">
        <f>0</f>
        <v>0</v>
      </c>
      <c r="I29" s="95">
        <f>0</f>
        <v>0</v>
      </c>
      <c r="J29" s="95">
        <f>64</f>
        <v>64</v>
      </c>
      <c r="K29" s="95">
        <f>0</f>
        <v>0</v>
      </c>
      <c r="L29" s="95">
        <f>0</f>
        <v>0</v>
      </c>
      <c r="M29" s="95">
        <f t="shared" si="4"/>
        <v>275.2</v>
      </c>
    </row>
    <row r="30" spans="1:13" x14ac:dyDescent="0.25">
      <c r="A30" s="183" t="s">
        <v>189</v>
      </c>
      <c r="B30" s="95">
        <f>0</f>
        <v>0</v>
      </c>
      <c r="C30" s="95">
        <f>0</f>
        <v>0</v>
      </c>
      <c r="D30" s="95">
        <f>0</f>
        <v>0</v>
      </c>
      <c r="E30" s="95">
        <f>0</f>
        <v>0</v>
      </c>
      <c r="F30" s="95">
        <f>273.04</f>
        <v>273.04000000000002</v>
      </c>
      <c r="G30" s="95">
        <f>0</f>
        <v>0</v>
      </c>
      <c r="H30" s="95">
        <f>64.95</f>
        <v>64.95</v>
      </c>
      <c r="I30" s="95">
        <f>238.38</f>
        <v>238.38</v>
      </c>
      <c r="J30" s="95">
        <f>0</f>
        <v>0</v>
      </c>
      <c r="K30" s="95">
        <f>0</f>
        <v>0</v>
      </c>
      <c r="L30" s="95">
        <f>78.03</f>
        <v>78.03</v>
      </c>
      <c r="M30" s="95">
        <f t="shared" si="4"/>
        <v>654.4</v>
      </c>
    </row>
    <row r="31" spans="1:13" x14ac:dyDescent="0.25">
      <c r="A31" s="183" t="s">
        <v>188</v>
      </c>
      <c r="B31" s="95">
        <f>0</f>
        <v>0</v>
      </c>
      <c r="C31" s="95">
        <f>0</f>
        <v>0</v>
      </c>
      <c r="D31" s="95">
        <f>250</f>
        <v>250</v>
      </c>
      <c r="E31" s="95">
        <f>0</f>
        <v>0</v>
      </c>
      <c r="F31" s="95">
        <f>0</f>
        <v>0</v>
      </c>
      <c r="G31" s="95">
        <f>0</f>
        <v>0</v>
      </c>
      <c r="H31" s="95">
        <f>0</f>
        <v>0</v>
      </c>
      <c r="I31" s="95">
        <f>0</f>
        <v>0</v>
      </c>
      <c r="J31" s="95">
        <f>0</f>
        <v>0</v>
      </c>
      <c r="K31" s="95">
        <f>0</f>
        <v>0</v>
      </c>
      <c r="L31" s="95">
        <f>0</f>
        <v>0</v>
      </c>
      <c r="M31" s="95">
        <f t="shared" si="4"/>
        <v>250</v>
      </c>
    </row>
    <row r="32" spans="1:13" x14ac:dyDescent="0.25">
      <c r="A32" s="183" t="s">
        <v>187</v>
      </c>
      <c r="B32" s="95">
        <f>0</f>
        <v>0</v>
      </c>
      <c r="C32" s="95">
        <f>0</f>
        <v>0</v>
      </c>
      <c r="D32" s="95">
        <f>0</f>
        <v>0</v>
      </c>
      <c r="E32" s="95">
        <f>41.34</f>
        <v>41.34</v>
      </c>
      <c r="F32" s="95">
        <f>149</f>
        <v>149</v>
      </c>
      <c r="G32" s="95">
        <f>0</f>
        <v>0</v>
      </c>
      <c r="H32" s="95">
        <f>0</f>
        <v>0</v>
      </c>
      <c r="I32" s="95">
        <f>0</f>
        <v>0</v>
      </c>
      <c r="J32" s="95">
        <f>0</f>
        <v>0</v>
      </c>
      <c r="K32" s="95">
        <f>0</f>
        <v>0</v>
      </c>
      <c r="L32" s="95">
        <f>0</f>
        <v>0</v>
      </c>
      <c r="M32" s="95">
        <f t="shared" si="4"/>
        <v>190.34</v>
      </c>
    </row>
    <row r="33" spans="1:13" x14ac:dyDescent="0.25">
      <c r="A33" s="183" t="s">
        <v>186</v>
      </c>
      <c r="B33" s="95">
        <f>0</f>
        <v>0</v>
      </c>
      <c r="C33" s="95">
        <f>0</f>
        <v>0</v>
      </c>
      <c r="D33" s="95">
        <f>101.92</f>
        <v>101.92</v>
      </c>
      <c r="E33" s="95">
        <f>0</f>
        <v>0</v>
      </c>
      <c r="F33" s="95">
        <f>0</f>
        <v>0</v>
      </c>
      <c r="G33" s="95">
        <f>0</f>
        <v>0</v>
      </c>
      <c r="H33" s="95">
        <f>0</f>
        <v>0</v>
      </c>
      <c r="I33" s="95">
        <f>0</f>
        <v>0</v>
      </c>
      <c r="J33" s="95">
        <f>0</f>
        <v>0</v>
      </c>
      <c r="K33" s="95">
        <f>0</f>
        <v>0</v>
      </c>
      <c r="L33" s="95">
        <f>0</f>
        <v>0</v>
      </c>
      <c r="M33" s="95">
        <f t="shared" si="4"/>
        <v>101.92</v>
      </c>
    </row>
    <row r="34" spans="1:13" x14ac:dyDescent="0.25">
      <c r="A34" s="183" t="s">
        <v>185</v>
      </c>
      <c r="B34" s="95">
        <f>0</f>
        <v>0</v>
      </c>
      <c r="C34" s="95">
        <f>0</f>
        <v>0</v>
      </c>
      <c r="D34" s="95">
        <f>0</f>
        <v>0</v>
      </c>
      <c r="E34" s="95">
        <f>0</f>
        <v>0</v>
      </c>
      <c r="F34" s="95">
        <f>0</f>
        <v>0</v>
      </c>
      <c r="G34" s="95">
        <f>408.72</f>
        <v>408.72</v>
      </c>
      <c r="H34" s="95">
        <f>0</f>
        <v>0</v>
      </c>
      <c r="I34" s="95">
        <f>100</f>
        <v>100</v>
      </c>
      <c r="J34" s="95">
        <f>51.96</f>
        <v>51.96</v>
      </c>
      <c r="K34" s="95">
        <f>0</f>
        <v>0</v>
      </c>
      <c r="L34" s="95">
        <f>158.49</f>
        <v>158.49</v>
      </c>
      <c r="M34" s="95">
        <f t="shared" si="4"/>
        <v>719.17000000000007</v>
      </c>
    </row>
    <row r="35" spans="1:13" x14ac:dyDescent="0.25">
      <c r="A35" s="183" t="s">
        <v>184</v>
      </c>
      <c r="B35" s="95">
        <f>0</f>
        <v>0</v>
      </c>
      <c r="C35" s="95">
        <f>0</f>
        <v>0</v>
      </c>
      <c r="D35" s="95">
        <f>0</f>
        <v>0</v>
      </c>
      <c r="E35" s="95">
        <f>0</f>
        <v>0</v>
      </c>
      <c r="F35" s="95">
        <f>0</f>
        <v>0</v>
      </c>
      <c r="G35" s="95">
        <f>0</f>
        <v>0</v>
      </c>
      <c r="H35" s="95">
        <f>0</f>
        <v>0</v>
      </c>
      <c r="I35" s="95">
        <f>0</f>
        <v>0</v>
      </c>
      <c r="J35" s="95">
        <f>0</f>
        <v>0</v>
      </c>
      <c r="K35" s="95">
        <f>0</f>
        <v>0</v>
      </c>
      <c r="L35" s="95">
        <f>47.94</f>
        <v>47.94</v>
      </c>
      <c r="M35" s="95">
        <f t="shared" si="4"/>
        <v>47.94</v>
      </c>
    </row>
    <row r="36" spans="1:13" x14ac:dyDescent="0.25">
      <c r="A36" s="183" t="s">
        <v>183</v>
      </c>
      <c r="B36" s="95">
        <f>0</f>
        <v>0</v>
      </c>
      <c r="C36" s="95">
        <f>0</f>
        <v>0</v>
      </c>
      <c r="D36" s="95">
        <f>0</f>
        <v>0</v>
      </c>
      <c r="E36" s="95">
        <f>0</f>
        <v>0</v>
      </c>
      <c r="F36" s="95">
        <f>0</f>
        <v>0</v>
      </c>
      <c r="G36" s="95">
        <f>0</f>
        <v>0</v>
      </c>
      <c r="H36" s="95">
        <f>0</f>
        <v>0</v>
      </c>
      <c r="I36" s="95">
        <f>0</f>
        <v>0</v>
      </c>
      <c r="J36" s="95">
        <f>0</f>
        <v>0</v>
      </c>
      <c r="K36" s="95">
        <f>0</f>
        <v>0</v>
      </c>
      <c r="L36" s="95">
        <f>0</f>
        <v>0</v>
      </c>
      <c r="M36" s="95">
        <f t="shared" si="4"/>
        <v>0</v>
      </c>
    </row>
    <row r="37" spans="1:13" x14ac:dyDescent="0.25">
      <c r="A37" s="183" t="s">
        <v>182</v>
      </c>
      <c r="B37" s="95">
        <f>0</f>
        <v>0</v>
      </c>
      <c r="C37" s="95">
        <f>0</f>
        <v>0</v>
      </c>
      <c r="D37" s="95">
        <f>0</f>
        <v>0</v>
      </c>
      <c r="E37" s="95">
        <f>0</f>
        <v>0</v>
      </c>
      <c r="F37" s="95">
        <f>0</f>
        <v>0</v>
      </c>
      <c r="G37" s="95">
        <f>0</f>
        <v>0</v>
      </c>
      <c r="H37" s="95">
        <f>0</f>
        <v>0</v>
      </c>
      <c r="I37" s="95">
        <f>0</f>
        <v>0</v>
      </c>
      <c r="J37" s="95">
        <f>354.9</f>
        <v>354.9</v>
      </c>
      <c r="K37" s="95">
        <f>0</f>
        <v>0</v>
      </c>
      <c r="L37" s="95">
        <f>0</f>
        <v>0</v>
      </c>
      <c r="M37" s="95">
        <f t="shared" si="4"/>
        <v>354.9</v>
      </c>
    </row>
    <row r="38" spans="1:13" x14ac:dyDescent="0.25">
      <c r="A38" s="183" t="s">
        <v>181</v>
      </c>
      <c r="B38" s="95">
        <f>0</f>
        <v>0</v>
      </c>
      <c r="C38" s="95">
        <f>0</f>
        <v>0</v>
      </c>
      <c r="D38" s="95">
        <f>210.15</f>
        <v>210.15</v>
      </c>
      <c r="E38" s="95">
        <f>0</f>
        <v>0</v>
      </c>
      <c r="F38" s="95">
        <f>0</f>
        <v>0</v>
      </c>
      <c r="G38" s="95">
        <f>0</f>
        <v>0</v>
      </c>
      <c r="H38" s="95">
        <f>0</f>
        <v>0</v>
      </c>
      <c r="I38" s="95">
        <f>409.9</f>
        <v>409.9</v>
      </c>
      <c r="J38" s="95">
        <f>0</f>
        <v>0</v>
      </c>
      <c r="K38" s="95">
        <f>228.15</f>
        <v>228.15</v>
      </c>
      <c r="L38" s="95">
        <f>0</f>
        <v>0</v>
      </c>
      <c r="M38" s="95">
        <f t="shared" si="4"/>
        <v>848.19999999999993</v>
      </c>
    </row>
    <row r="39" spans="1:13" x14ac:dyDescent="0.25">
      <c r="A39" s="183" t="s">
        <v>180</v>
      </c>
      <c r="B39" s="95">
        <f>0</f>
        <v>0</v>
      </c>
      <c r="C39" s="95">
        <f>0</f>
        <v>0</v>
      </c>
      <c r="D39" s="95">
        <f>0</f>
        <v>0</v>
      </c>
      <c r="E39" s="95">
        <f>0</f>
        <v>0</v>
      </c>
      <c r="F39" s="95">
        <f>0</f>
        <v>0</v>
      </c>
      <c r="G39" s="95">
        <f>0</f>
        <v>0</v>
      </c>
      <c r="H39" s="95">
        <f>0</f>
        <v>0</v>
      </c>
      <c r="I39" s="95">
        <f>0</f>
        <v>0</v>
      </c>
      <c r="J39" s="95">
        <f>0</f>
        <v>0</v>
      </c>
      <c r="K39" s="95">
        <f>0</f>
        <v>0</v>
      </c>
      <c r="L39" s="95">
        <f>384.9</f>
        <v>384.9</v>
      </c>
      <c r="M39" s="95">
        <f t="shared" si="4"/>
        <v>384.9</v>
      </c>
    </row>
    <row r="40" spans="1:13" x14ac:dyDescent="0.25">
      <c r="A40" s="183" t="s">
        <v>179</v>
      </c>
      <c r="B40" s="95">
        <f>0</f>
        <v>0</v>
      </c>
      <c r="C40" s="95">
        <f>0</f>
        <v>0</v>
      </c>
      <c r="D40" s="95">
        <f>336.15</f>
        <v>336.15</v>
      </c>
      <c r="E40" s="95">
        <f>0</f>
        <v>0</v>
      </c>
      <c r="F40" s="95">
        <f>0</f>
        <v>0</v>
      </c>
      <c r="G40" s="95">
        <f>70</f>
        <v>70</v>
      </c>
      <c r="H40" s="95">
        <f>0</f>
        <v>0</v>
      </c>
      <c r="I40" s="95">
        <f>0</f>
        <v>0</v>
      </c>
      <c r="J40" s="95">
        <f>0</f>
        <v>0</v>
      </c>
      <c r="K40" s="95">
        <f>0</f>
        <v>0</v>
      </c>
      <c r="L40" s="95">
        <f>0</f>
        <v>0</v>
      </c>
      <c r="M40" s="95">
        <f t="shared" si="4"/>
        <v>406.15</v>
      </c>
    </row>
    <row r="41" spans="1:13" x14ac:dyDescent="0.25">
      <c r="A41" s="183" t="s">
        <v>178</v>
      </c>
      <c r="B41" s="95">
        <f>0</f>
        <v>0</v>
      </c>
      <c r="C41" s="95">
        <f>0</f>
        <v>0</v>
      </c>
      <c r="D41" s="95">
        <f>0</f>
        <v>0</v>
      </c>
      <c r="E41" s="95">
        <f>0</f>
        <v>0</v>
      </c>
      <c r="F41" s="95">
        <f>0</f>
        <v>0</v>
      </c>
      <c r="G41" s="95">
        <f>0</f>
        <v>0</v>
      </c>
      <c r="H41" s="95">
        <f>0</f>
        <v>0</v>
      </c>
      <c r="I41" s="95">
        <f>0</f>
        <v>0</v>
      </c>
      <c r="J41" s="95">
        <f>0</f>
        <v>0</v>
      </c>
      <c r="K41" s="95">
        <f>450</f>
        <v>450</v>
      </c>
      <c r="L41" s="95">
        <f>0</f>
        <v>0</v>
      </c>
      <c r="M41" s="95">
        <f t="shared" si="4"/>
        <v>450</v>
      </c>
    </row>
    <row r="42" spans="1:13" x14ac:dyDescent="0.25">
      <c r="A42" s="183" t="s">
        <v>177</v>
      </c>
      <c r="B42" s="95">
        <f>0</f>
        <v>0</v>
      </c>
      <c r="C42" s="95">
        <f>0</f>
        <v>0</v>
      </c>
      <c r="D42" s="95">
        <f>0</f>
        <v>0</v>
      </c>
      <c r="E42" s="95">
        <f>120</f>
        <v>120</v>
      </c>
      <c r="F42" s="95">
        <f>0</f>
        <v>0</v>
      </c>
      <c r="G42" s="95">
        <f>0</f>
        <v>0</v>
      </c>
      <c r="H42" s="95">
        <f>0</f>
        <v>0</v>
      </c>
      <c r="I42" s="95">
        <f>0</f>
        <v>0</v>
      </c>
      <c r="J42" s="95">
        <f>0</f>
        <v>0</v>
      </c>
      <c r="K42" s="95">
        <f>0</f>
        <v>0</v>
      </c>
      <c r="L42" s="95">
        <f>0</f>
        <v>0</v>
      </c>
      <c r="M42" s="95">
        <f t="shared" si="4"/>
        <v>120</v>
      </c>
    </row>
    <row r="43" spans="1:13" x14ac:dyDescent="0.25">
      <c r="A43" s="183" t="s">
        <v>176</v>
      </c>
      <c r="B43" s="94">
        <f t="shared" ref="B43:L43" si="5">((((((B36)+(B37))+(B38))+(B39))+(B40))+(B41))+(B42)</f>
        <v>0</v>
      </c>
      <c r="C43" s="94">
        <f t="shared" si="5"/>
        <v>0</v>
      </c>
      <c r="D43" s="94">
        <f t="shared" si="5"/>
        <v>546.29999999999995</v>
      </c>
      <c r="E43" s="94">
        <f t="shared" si="5"/>
        <v>120</v>
      </c>
      <c r="F43" s="94">
        <f t="shared" si="5"/>
        <v>0</v>
      </c>
      <c r="G43" s="94">
        <f t="shared" si="5"/>
        <v>70</v>
      </c>
      <c r="H43" s="94">
        <f t="shared" si="5"/>
        <v>0</v>
      </c>
      <c r="I43" s="94">
        <f t="shared" si="5"/>
        <v>409.9</v>
      </c>
      <c r="J43" s="94">
        <f t="shared" si="5"/>
        <v>354.9</v>
      </c>
      <c r="K43" s="94">
        <f t="shared" si="5"/>
        <v>678.15</v>
      </c>
      <c r="L43" s="94">
        <f t="shared" si="5"/>
        <v>384.9</v>
      </c>
      <c r="M43" s="94">
        <f t="shared" si="4"/>
        <v>2564.15</v>
      </c>
    </row>
    <row r="44" spans="1:13" x14ac:dyDescent="0.25">
      <c r="A44" s="183" t="s">
        <v>175</v>
      </c>
      <c r="B44" s="95">
        <f>0</f>
        <v>0</v>
      </c>
      <c r="C44" s="95">
        <f>0</f>
        <v>0</v>
      </c>
      <c r="D44" s="95">
        <f>3471.74</f>
        <v>3471.74</v>
      </c>
      <c r="E44" s="95">
        <f>1195</f>
        <v>1195</v>
      </c>
      <c r="F44" s="95">
        <f>13.89</f>
        <v>13.89</v>
      </c>
      <c r="G44" s="95">
        <f>0</f>
        <v>0</v>
      </c>
      <c r="H44" s="95">
        <f>30</f>
        <v>30</v>
      </c>
      <c r="I44" s="95">
        <f>0</f>
        <v>0</v>
      </c>
      <c r="J44" s="95">
        <f>0</f>
        <v>0</v>
      </c>
      <c r="K44" s="95">
        <f>0</f>
        <v>0</v>
      </c>
      <c r="L44" s="95">
        <f>0</f>
        <v>0</v>
      </c>
      <c r="M44" s="95">
        <f t="shared" si="4"/>
        <v>4710.63</v>
      </c>
    </row>
    <row r="45" spans="1:13" x14ac:dyDescent="0.25">
      <c r="A45" s="183" t="s">
        <v>174</v>
      </c>
      <c r="B45" s="95">
        <f>0</f>
        <v>0</v>
      </c>
      <c r="C45" s="95">
        <f>0</f>
        <v>0</v>
      </c>
      <c r="D45" s="95">
        <f>335</f>
        <v>335</v>
      </c>
      <c r="E45" s="95">
        <f>0</f>
        <v>0</v>
      </c>
      <c r="F45" s="95">
        <f>0</f>
        <v>0</v>
      </c>
      <c r="G45" s="95">
        <f>0</f>
        <v>0</v>
      </c>
      <c r="H45" s="95">
        <f>0</f>
        <v>0</v>
      </c>
      <c r="I45" s="95">
        <f>0</f>
        <v>0</v>
      </c>
      <c r="J45" s="95">
        <f>0</f>
        <v>0</v>
      </c>
      <c r="K45" s="95">
        <f>0</f>
        <v>0</v>
      </c>
      <c r="L45" s="95">
        <f>0</f>
        <v>0</v>
      </c>
      <c r="M45" s="95">
        <f t="shared" si="4"/>
        <v>335</v>
      </c>
    </row>
    <row r="46" spans="1:13" x14ac:dyDescent="0.25">
      <c r="A46" s="183" t="s">
        <v>173</v>
      </c>
      <c r="B46" s="95">
        <f>0</f>
        <v>0</v>
      </c>
      <c r="C46" s="95">
        <f>0</f>
        <v>0</v>
      </c>
      <c r="D46" s="95">
        <f>0</f>
        <v>0</v>
      </c>
      <c r="E46" s="95">
        <f>0</f>
        <v>0</v>
      </c>
      <c r="F46" s="95">
        <f>33.57</f>
        <v>33.57</v>
      </c>
      <c r="G46" s="95">
        <f>0</f>
        <v>0</v>
      </c>
      <c r="H46" s="95">
        <f>0</f>
        <v>0</v>
      </c>
      <c r="I46" s="95">
        <f>0</f>
        <v>0</v>
      </c>
      <c r="J46" s="95">
        <f>0</f>
        <v>0</v>
      </c>
      <c r="K46" s="95">
        <f>0</f>
        <v>0</v>
      </c>
      <c r="L46" s="95">
        <f>0</f>
        <v>0</v>
      </c>
      <c r="M46" s="95">
        <f t="shared" si="4"/>
        <v>33.57</v>
      </c>
    </row>
    <row r="47" spans="1:13" x14ac:dyDescent="0.25">
      <c r="A47" s="183" t="s">
        <v>172</v>
      </c>
      <c r="B47" s="95">
        <f>0</f>
        <v>0</v>
      </c>
      <c r="C47" s="95">
        <f>0</f>
        <v>0</v>
      </c>
      <c r="D47" s="95">
        <f>0</f>
        <v>0</v>
      </c>
      <c r="E47" s="95">
        <f>0</f>
        <v>0</v>
      </c>
      <c r="F47" s="95">
        <f>0</f>
        <v>0</v>
      </c>
      <c r="G47" s="95">
        <f>0</f>
        <v>0</v>
      </c>
      <c r="H47" s="95">
        <f>0</f>
        <v>0</v>
      </c>
      <c r="I47" s="95">
        <f>572.78</f>
        <v>572.78</v>
      </c>
      <c r="J47" s="95">
        <f>0</f>
        <v>0</v>
      </c>
      <c r="K47" s="95">
        <f>0</f>
        <v>0</v>
      </c>
      <c r="L47" s="95">
        <f>1642.2</f>
        <v>1642.2</v>
      </c>
      <c r="M47" s="95">
        <f t="shared" si="4"/>
        <v>2214.98</v>
      </c>
    </row>
    <row r="48" spans="1:13" x14ac:dyDescent="0.25">
      <c r="A48" s="183" t="s">
        <v>171</v>
      </c>
      <c r="B48" s="95">
        <f>0</f>
        <v>0</v>
      </c>
      <c r="C48" s="95">
        <f>0</f>
        <v>0</v>
      </c>
      <c r="D48" s="95">
        <f>0</f>
        <v>0</v>
      </c>
      <c r="E48" s="95">
        <f>0</f>
        <v>0</v>
      </c>
      <c r="F48" s="95">
        <f>0</f>
        <v>0</v>
      </c>
      <c r="G48" s="95">
        <f>0</f>
        <v>0</v>
      </c>
      <c r="H48" s="95">
        <f>0</f>
        <v>0</v>
      </c>
      <c r="I48" s="95">
        <f>0</f>
        <v>0</v>
      </c>
      <c r="J48" s="95">
        <f>1.52</f>
        <v>1.52</v>
      </c>
      <c r="K48" s="95">
        <f>1.52</f>
        <v>1.52</v>
      </c>
      <c r="L48" s="95">
        <f>7.59</f>
        <v>7.59</v>
      </c>
      <c r="M48" s="95">
        <f t="shared" si="4"/>
        <v>10.629999999999999</v>
      </c>
    </row>
    <row r="49" spans="1:13" x14ac:dyDescent="0.25">
      <c r="A49" s="183" t="s">
        <v>170</v>
      </c>
      <c r="B49" s="95">
        <f>0</f>
        <v>0</v>
      </c>
      <c r="C49" s="95">
        <f>0</f>
        <v>0</v>
      </c>
      <c r="D49" s="95">
        <f>235</f>
        <v>235</v>
      </c>
      <c r="E49" s="95">
        <f>0</f>
        <v>0</v>
      </c>
      <c r="F49" s="95">
        <f>0</f>
        <v>0</v>
      </c>
      <c r="G49" s="95">
        <f>0</f>
        <v>0</v>
      </c>
      <c r="H49" s="95">
        <f>0</f>
        <v>0</v>
      </c>
      <c r="I49" s="95">
        <f>0</f>
        <v>0</v>
      </c>
      <c r="J49" s="95">
        <f>0</f>
        <v>0</v>
      </c>
      <c r="K49" s="95">
        <f>0</f>
        <v>0</v>
      </c>
      <c r="L49" s="95">
        <f>267.7</f>
        <v>267.7</v>
      </c>
      <c r="M49" s="95">
        <f t="shared" si="4"/>
        <v>502.7</v>
      </c>
    </row>
    <row r="50" spans="1:13" x14ac:dyDescent="0.25">
      <c r="A50" s="183" t="s">
        <v>169</v>
      </c>
      <c r="B50" s="95">
        <f>0</f>
        <v>0</v>
      </c>
      <c r="C50" s="95">
        <f>0</f>
        <v>0</v>
      </c>
      <c r="D50" s="95">
        <f>0</f>
        <v>0</v>
      </c>
      <c r="E50" s="95">
        <f>0</f>
        <v>0</v>
      </c>
      <c r="F50" s="95">
        <f>9.5</f>
        <v>9.5</v>
      </c>
      <c r="G50" s="95">
        <f>0</f>
        <v>0</v>
      </c>
      <c r="H50" s="95">
        <f>0</f>
        <v>0</v>
      </c>
      <c r="I50" s="95">
        <f>0</f>
        <v>0</v>
      </c>
      <c r="J50" s="95">
        <f>0</f>
        <v>0</v>
      </c>
      <c r="K50" s="95">
        <f>0</f>
        <v>0</v>
      </c>
      <c r="L50" s="95">
        <f>0</f>
        <v>0</v>
      </c>
      <c r="M50" s="95">
        <f t="shared" si="4"/>
        <v>9.5</v>
      </c>
    </row>
    <row r="51" spans="1:13" x14ac:dyDescent="0.25">
      <c r="A51" s="183" t="s">
        <v>168</v>
      </c>
      <c r="B51" s="95">
        <f>25</f>
        <v>25</v>
      </c>
      <c r="C51" s="95">
        <f>0</f>
        <v>0</v>
      </c>
      <c r="D51" s="95">
        <f>0</f>
        <v>0</v>
      </c>
      <c r="E51" s="95">
        <f>0</f>
        <v>0</v>
      </c>
      <c r="F51" s="95">
        <f>74.99</f>
        <v>74.989999999999995</v>
      </c>
      <c r="G51" s="95">
        <f>0</f>
        <v>0</v>
      </c>
      <c r="H51" s="95">
        <f>17.75</f>
        <v>17.75</v>
      </c>
      <c r="I51" s="95">
        <f>0</f>
        <v>0</v>
      </c>
      <c r="J51" s="95">
        <f>0</f>
        <v>0</v>
      </c>
      <c r="K51" s="95">
        <f>0</f>
        <v>0</v>
      </c>
      <c r="L51" s="95">
        <f>0</f>
        <v>0</v>
      </c>
      <c r="M51" s="95">
        <f t="shared" si="4"/>
        <v>117.74</v>
      </c>
    </row>
    <row r="52" spans="1:13" x14ac:dyDescent="0.25">
      <c r="A52" s="183" t="s">
        <v>167</v>
      </c>
      <c r="B52" s="95">
        <f>0</f>
        <v>0</v>
      </c>
      <c r="C52" s="95">
        <f>0</f>
        <v>0</v>
      </c>
      <c r="D52" s="95">
        <f>395.34</f>
        <v>395.34</v>
      </c>
      <c r="E52" s="95">
        <f>0</f>
        <v>0</v>
      </c>
      <c r="F52" s="95">
        <f>0</f>
        <v>0</v>
      </c>
      <c r="G52" s="95">
        <f>0</f>
        <v>0</v>
      </c>
      <c r="H52" s="95">
        <f>0</f>
        <v>0</v>
      </c>
      <c r="I52" s="95">
        <f>0</f>
        <v>0</v>
      </c>
      <c r="J52" s="95">
        <f>0</f>
        <v>0</v>
      </c>
      <c r="K52" s="95">
        <f>0</f>
        <v>0</v>
      </c>
      <c r="L52" s="95">
        <f>0</f>
        <v>0</v>
      </c>
      <c r="M52" s="95">
        <f t="shared" si="4"/>
        <v>395.34</v>
      </c>
    </row>
    <row r="53" spans="1:13" x14ac:dyDescent="0.25">
      <c r="A53" s="183" t="s">
        <v>166</v>
      </c>
      <c r="B53" s="95">
        <f>0</f>
        <v>0</v>
      </c>
      <c r="C53" s="95">
        <f>0</f>
        <v>0</v>
      </c>
      <c r="D53" s="95">
        <f>460.68</f>
        <v>460.68</v>
      </c>
      <c r="E53" s="95">
        <f>0</f>
        <v>0</v>
      </c>
      <c r="F53" s="95">
        <f>0</f>
        <v>0</v>
      </c>
      <c r="G53" s="95">
        <f>0</f>
        <v>0</v>
      </c>
      <c r="H53" s="95">
        <f>0</f>
        <v>0</v>
      </c>
      <c r="I53" s="95">
        <f>0</f>
        <v>0</v>
      </c>
      <c r="J53" s="95">
        <f>0</f>
        <v>0</v>
      </c>
      <c r="K53" s="95">
        <f>0</f>
        <v>0</v>
      </c>
      <c r="L53" s="95">
        <f>0</f>
        <v>0</v>
      </c>
      <c r="M53" s="95">
        <f t="shared" si="4"/>
        <v>460.68</v>
      </c>
    </row>
    <row r="54" spans="1:13" x14ac:dyDescent="0.25">
      <c r="A54" s="183" t="s">
        <v>165</v>
      </c>
      <c r="B54" s="95">
        <f>0</f>
        <v>0</v>
      </c>
      <c r="C54" s="95">
        <f>2905.09</f>
        <v>2905.09</v>
      </c>
      <c r="D54" s="95">
        <f>1328.59</f>
        <v>1328.59</v>
      </c>
      <c r="E54" s="95">
        <f>0</f>
        <v>0</v>
      </c>
      <c r="F54" s="95">
        <f>198.2</f>
        <v>198.2</v>
      </c>
      <c r="G54" s="95">
        <f>0</f>
        <v>0</v>
      </c>
      <c r="H54" s="95">
        <f>404.35</f>
        <v>404.35</v>
      </c>
      <c r="I54" s="95">
        <f>242.5</f>
        <v>242.5</v>
      </c>
      <c r="J54" s="95">
        <f>699.49</f>
        <v>699.49</v>
      </c>
      <c r="K54" s="95">
        <f>270</f>
        <v>270</v>
      </c>
      <c r="L54" s="95">
        <f>0</f>
        <v>0</v>
      </c>
      <c r="M54" s="95">
        <f t="shared" si="4"/>
        <v>6048.22</v>
      </c>
    </row>
    <row r="55" spans="1:13" x14ac:dyDescent="0.25">
      <c r="A55" s="183" t="s">
        <v>164</v>
      </c>
      <c r="B55" s="95">
        <f>0</f>
        <v>0</v>
      </c>
      <c r="C55" s="95">
        <f>0</f>
        <v>0</v>
      </c>
      <c r="D55" s="95">
        <f>0</f>
        <v>0</v>
      </c>
      <c r="E55" s="95">
        <f>0</f>
        <v>0</v>
      </c>
      <c r="F55" s="95">
        <f>0</f>
        <v>0</v>
      </c>
      <c r="G55" s="95">
        <f>0</f>
        <v>0</v>
      </c>
      <c r="H55" s="95">
        <f>0</f>
        <v>0</v>
      </c>
      <c r="I55" s="95">
        <f>0</f>
        <v>0</v>
      </c>
      <c r="J55" s="95">
        <f>0</f>
        <v>0</v>
      </c>
      <c r="K55" s="95">
        <f>0</f>
        <v>0</v>
      </c>
      <c r="L55" s="95">
        <f>280.78</f>
        <v>280.77999999999997</v>
      </c>
      <c r="M55" s="95">
        <f t="shared" si="4"/>
        <v>280.77999999999997</v>
      </c>
    </row>
    <row r="56" spans="1:13" x14ac:dyDescent="0.25">
      <c r="A56" s="183" t="s">
        <v>163</v>
      </c>
      <c r="B56" s="95">
        <f>0</f>
        <v>0</v>
      </c>
      <c r="C56" s="95">
        <f>0</f>
        <v>0</v>
      </c>
      <c r="D56" s="95">
        <f>0</f>
        <v>0</v>
      </c>
      <c r="E56" s="95">
        <f>106.29</f>
        <v>106.29</v>
      </c>
      <c r="F56" s="95">
        <f>55.79</f>
        <v>55.79</v>
      </c>
      <c r="G56" s="95">
        <f>0</f>
        <v>0</v>
      </c>
      <c r="H56" s="95">
        <f>48.89</f>
        <v>48.89</v>
      </c>
      <c r="I56" s="95">
        <f>44.69</f>
        <v>44.69</v>
      </c>
      <c r="J56" s="95">
        <f>28.7</f>
        <v>28.7</v>
      </c>
      <c r="K56" s="95">
        <f>0</f>
        <v>0</v>
      </c>
      <c r="L56" s="95">
        <f>472</f>
        <v>472</v>
      </c>
      <c r="M56" s="95">
        <f t="shared" si="4"/>
        <v>756.36</v>
      </c>
    </row>
    <row r="57" spans="1:13" x14ac:dyDescent="0.25">
      <c r="A57" s="183" t="s">
        <v>162</v>
      </c>
      <c r="B57" s="95">
        <f>0</f>
        <v>0</v>
      </c>
      <c r="C57" s="95">
        <f>0</f>
        <v>0</v>
      </c>
      <c r="D57" s="95">
        <f>0</f>
        <v>0</v>
      </c>
      <c r="E57" s="95">
        <f>390.35</f>
        <v>390.35</v>
      </c>
      <c r="F57" s="95">
        <f>0</f>
        <v>0</v>
      </c>
      <c r="G57" s="95">
        <f>0</f>
        <v>0</v>
      </c>
      <c r="H57" s="95">
        <f>0</f>
        <v>0</v>
      </c>
      <c r="I57" s="95">
        <f>0</f>
        <v>0</v>
      </c>
      <c r="J57" s="95">
        <f>0</f>
        <v>0</v>
      </c>
      <c r="K57" s="95">
        <f>0</f>
        <v>0</v>
      </c>
      <c r="L57" s="95">
        <f>0</f>
        <v>0</v>
      </c>
      <c r="M57" s="95">
        <f t="shared" si="4"/>
        <v>390.35</v>
      </c>
    </row>
    <row r="58" spans="1:13" x14ac:dyDescent="0.25">
      <c r="A58" s="183" t="s">
        <v>161</v>
      </c>
      <c r="B58" s="95">
        <f>0</f>
        <v>0</v>
      </c>
      <c r="C58" s="95">
        <f>0</f>
        <v>0</v>
      </c>
      <c r="D58" s="95">
        <f>0</f>
        <v>0</v>
      </c>
      <c r="E58" s="95">
        <f>109.9</f>
        <v>109.9</v>
      </c>
      <c r="F58" s="95">
        <f>100</f>
        <v>100</v>
      </c>
      <c r="G58" s="95">
        <f>0</f>
        <v>0</v>
      </c>
      <c r="H58" s="95">
        <f>0</f>
        <v>0</v>
      </c>
      <c r="I58" s="95">
        <f>25</f>
        <v>25</v>
      </c>
      <c r="J58" s="95">
        <f>0</f>
        <v>0</v>
      </c>
      <c r="K58" s="95">
        <f>75</f>
        <v>75</v>
      </c>
      <c r="L58" s="95">
        <f>145.95</f>
        <v>145.94999999999999</v>
      </c>
      <c r="M58" s="95">
        <f t="shared" si="4"/>
        <v>455.84999999999997</v>
      </c>
    </row>
    <row r="59" spans="1:13" x14ac:dyDescent="0.25">
      <c r="A59" s="183" t="s">
        <v>160</v>
      </c>
      <c r="B59" s="95">
        <f>0</f>
        <v>0</v>
      </c>
      <c r="C59" s="95">
        <f>0</f>
        <v>0</v>
      </c>
      <c r="D59" s="95">
        <f>0</f>
        <v>0</v>
      </c>
      <c r="E59" s="95">
        <f>90</f>
        <v>90</v>
      </c>
      <c r="F59" s="95">
        <f>0</f>
        <v>0</v>
      </c>
      <c r="G59" s="95">
        <f>0</f>
        <v>0</v>
      </c>
      <c r="H59" s="95">
        <f>50</f>
        <v>50</v>
      </c>
      <c r="I59" s="95">
        <f>0</f>
        <v>0</v>
      </c>
      <c r="J59" s="95">
        <f>0</f>
        <v>0</v>
      </c>
      <c r="K59" s="95">
        <f>0</f>
        <v>0</v>
      </c>
      <c r="L59" s="95">
        <f>0</f>
        <v>0</v>
      </c>
      <c r="M59" s="95">
        <f t="shared" si="4"/>
        <v>140</v>
      </c>
    </row>
    <row r="60" spans="1:13" x14ac:dyDescent="0.25">
      <c r="A60" s="183" t="s">
        <v>159</v>
      </c>
      <c r="B60" s="95">
        <f>0</f>
        <v>0</v>
      </c>
      <c r="C60" s="95">
        <f>0</f>
        <v>0</v>
      </c>
      <c r="D60" s="95">
        <f>812.73</f>
        <v>812.73</v>
      </c>
      <c r="E60" s="95">
        <f>332.96</f>
        <v>332.96</v>
      </c>
      <c r="F60" s="95">
        <f>606.37</f>
        <v>606.37</v>
      </c>
      <c r="G60" s="95">
        <f>0</f>
        <v>0</v>
      </c>
      <c r="H60" s="95">
        <f>306.66</f>
        <v>306.66000000000003</v>
      </c>
      <c r="I60" s="95">
        <f>71.62</f>
        <v>71.62</v>
      </c>
      <c r="J60" s="95">
        <f>361.73</f>
        <v>361.73</v>
      </c>
      <c r="K60" s="95">
        <f>88.88</f>
        <v>88.88</v>
      </c>
      <c r="L60" s="95">
        <f>776.64</f>
        <v>776.64</v>
      </c>
      <c r="M60" s="95">
        <f t="shared" si="4"/>
        <v>3357.5899999999997</v>
      </c>
    </row>
    <row r="61" spans="1:13" x14ac:dyDescent="0.25">
      <c r="A61" s="183" t="s">
        <v>158</v>
      </c>
      <c r="B61" s="95">
        <f>0</f>
        <v>0</v>
      </c>
      <c r="C61" s="95">
        <f>0</f>
        <v>0</v>
      </c>
      <c r="D61" s="95">
        <f>0</f>
        <v>0</v>
      </c>
      <c r="E61" s="95">
        <f>0</f>
        <v>0</v>
      </c>
      <c r="F61" s="95">
        <f>0</f>
        <v>0</v>
      </c>
      <c r="G61" s="95">
        <f>34</f>
        <v>34</v>
      </c>
      <c r="H61" s="95">
        <f>0</f>
        <v>0</v>
      </c>
      <c r="I61" s="95">
        <f>32</f>
        <v>32</v>
      </c>
      <c r="J61" s="95">
        <f>0</f>
        <v>0</v>
      </c>
      <c r="K61" s="95">
        <f>0</f>
        <v>0</v>
      </c>
      <c r="L61" s="95">
        <f>0</f>
        <v>0</v>
      </c>
      <c r="M61" s="95">
        <f t="shared" si="4"/>
        <v>66</v>
      </c>
    </row>
    <row r="62" spans="1:13" x14ac:dyDescent="0.25">
      <c r="A62" s="183" t="s">
        <v>157</v>
      </c>
      <c r="B62" s="95">
        <f>0</f>
        <v>0</v>
      </c>
      <c r="C62" s="95">
        <f>0</f>
        <v>0</v>
      </c>
      <c r="D62" s="95">
        <f>0</f>
        <v>0</v>
      </c>
      <c r="E62" s="95">
        <f>0</f>
        <v>0</v>
      </c>
      <c r="F62" s="95">
        <f>0</f>
        <v>0</v>
      </c>
      <c r="G62" s="95">
        <f>0</f>
        <v>0</v>
      </c>
      <c r="H62" s="95">
        <f>0</f>
        <v>0</v>
      </c>
      <c r="I62" s="95">
        <f>0</f>
        <v>0</v>
      </c>
      <c r="J62" s="95">
        <f>0</f>
        <v>0</v>
      </c>
      <c r="K62" s="95">
        <f>100</f>
        <v>100</v>
      </c>
      <c r="L62" s="95">
        <f>0</f>
        <v>0</v>
      </c>
      <c r="M62" s="95">
        <f t="shared" si="4"/>
        <v>100</v>
      </c>
    </row>
    <row r="63" spans="1:13" x14ac:dyDescent="0.25">
      <c r="A63" s="183" t="s">
        <v>89</v>
      </c>
      <c r="B63" s="94">
        <f t="shared" ref="B63:L63" si="6">(((((((((((((((((((((((((((((((B24)+(B25))+(B26))+(B27))+(B28))+(B29))+(B30))+(B31))+(B32))+(B33))+(B34))+(B35))+(B43))+(B44))+(B45))+(B46))+(B47))+(B48))+(B49))+(B50))+(B51))+(B52))+(B53))+(B54))+(B55))+(B56))+(B57))+(B58))+(B59))+(B60))+(B61))+(B62)</f>
        <v>25</v>
      </c>
      <c r="C63" s="94">
        <f t="shared" si="6"/>
        <v>2905.09</v>
      </c>
      <c r="D63" s="94">
        <f t="shared" si="6"/>
        <v>8002.3000000000011</v>
      </c>
      <c r="E63" s="94">
        <f t="shared" si="6"/>
        <v>2385.84</v>
      </c>
      <c r="F63" s="94">
        <f t="shared" si="6"/>
        <v>1664.35</v>
      </c>
      <c r="G63" s="94">
        <f t="shared" si="6"/>
        <v>1581.97</v>
      </c>
      <c r="H63" s="94">
        <f t="shared" si="6"/>
        <v>1208.5999999999999</v>
      </c>
      <c r="I63" s="94">
        <f t="shared" si="6"/>
        <v>2020.4100000000003</v>
      </c>
      <c r="J63" s="94">
        <f t="shared" si="6"/>
        <v>1562.3</v>
      </c>
      <c r="K63" s="94">
        <f t="shared" si="6"/>
        <v>2513.5500000000002</v>
      </c>
      <c r="L63" s="94">
        <f t="shared" si="6"/>
        <v>4702.5</v>
      </c>
      <c r="M63" s="94">
        <f t="shared" si="4"/>
        <v>28571.91</v>
      </c>
    </row>
    <row r="64" spans="1:13" x14ac:dyDescent="0.25">
      <c r="A64" s="183" t="s">
        <v>90</v>
      </c>
      <c r="B64" s="94">
        <f t="shared" ref="B64:L64" si="7">(B22)-(B63)</f>
        <v>-25</v>
      </c>
      <c r="C64" s="94">
        <f t="shared" si="7"/>
        <v>-2905.09</v>
      </c>
      <c r="D64" s="94">
        <f t="shared" si="7"/>
        <v>-374.21000000000095</v>
      </c>
      <c r="E64" s="94">
        <f t="shared" si="7"/>
        <v>2706.9300000000003</v>
      </c>
      <c r="F64" s="94">
        <f t="shared" si="7"/>
        <v>24240.719999999998</v>
      </c>
      <c r="G64" s="94">
        <f t="shared" si="7"/>
        <v>-811.32</v>
      </c>
      <c r="H64" s="94">
        <f t="shared" si="7"/>
        <v>1750.25</v>
      </c>
      <c r="I64" s="94">
        <f t="shared" si="7"/>
        <v>-1594.9500000000003</v>
      </c>
      <c r="J64" s="94">
        <f t="shared" si="7"/>
        <v>-854.03</v>
      </c>
      <c r="K64" s="94">
        <f t="shared" si="7"/>
        <v>-2462.0300000000002</v>
      </c>
      <c r="L64" s="94">
        <f t="shared" si="7"/>
        <v>387.88000000000011</v>
      </c>
      <c r="M64" s="94">
        <f t="shared" si="4"/>
        <v>20059.150000000001</v>
      </c>
    </row>
    <row r="65" spans="1:13" x14ac:dyDescent="0.25">
      <c r="A65" s="183" t="s">
        <v>91</v>
      </c>
      <c r="B65" s="92"/>
      <c r="C65" s="92"/>
      <c r="D65" s="92"/>
      <c r="E65" s="92"/>
      <c r="F65" s="92"/>
      <c r="G65" s="92"/>
      <c r="H65" s="92"/>
      <c r="I65" s="92"/>
      <c r="J65" s="92"/>
      <c r="K65" s="92"/>
      <c r="L65" s="92"/>
      <c r="M65" s="92"/>
    </row>
    <row r="66" spans="1:13" x14ac:dyDescent="0.25">
      <c r="A66" s="183" t="s">
        <v>92</v>
      </c>
      <c r="B66" s="95">
        <f>1.14</f>
        <v>1.1399999999999999</v>
      </c>
      <c r="C66" s="95">
        <f>1.09</f>
        <v>1.0900000000000001</v>
      </c>
      <c r="D66" s="95">
        <f>1.03</f>
        <v>1.03</v>
      </c>
      <c r="E66" s="95">
        <f>1</f>
        <v>1</v>
      </c>
      <c r="F66" s="95">
        <f>2.49</f>
        <v>2.4900000000000002</v>
      </c>
      <c r="G66" s="95">
        <f>2.62</f>
        <v>2.62</v>
      </c>
      <c r="H66" s="95">
        <f>2.67</f>
        <v>2.67</v>
      </c>
      <c r="I66" s="95">
        <f>2.41</f>
        <v>2.41</v>
      </c>
      <c r="J66" s="95">
        <f>2.62</f>
        <v>2.62</v>
      </c>
      <c r="K66" s="95">
        <f>2.47</f>
        <v>2.4700000000000002</v>
      </c>
      <c r="L66" s="95">
        <f>0</f>
        <v>0</v>
      </c>
      <c r="M66" s="95">
        <f>((((((((((B66)+(C66))+(D66))+(E66))+(F66))+(G66))+(H66))+(I66))+(J66))+(K66))+(L66)</f>
        <v>19.54</v>
      </c>
    </row>
    <row r="67" spans="1:13" x14ac:dyDescent="0.25">
      <c r="A67" s="183" t="s">
        <v>93</v>
      </c>
      <c r="B67" s="95">
        <f>0.56</f>
        <v>0.56000000000000005</v>
      </c>
      <c r="C67" s="95">
        <f>0.45</f>
        <v>0.45</v>
      </c>
      <c r="D67" s="95">
        <f>0.44</f>
        <v>0.44</v>
      </c>
      <c r="E67" s="95">
        <f>0</f>
        <v>0</v>
      </c>
      <c r="F67" s="95">
        <f>0</f>
        <v>0</v>
      </c>
      <c r="G67" s="95">
        <f>0</f>
        <v>0</v>
      </c>
      <c r="H67" s="95">
        <f>0</f>
        <v>0</v>
      </c>
      <c r="I67" s="95">
        <f>0</f>
        <v>0</v>
      </c>
      <c r="J67" s="95">
        <f>0</f>
        <v>0</v>
      </c>
      <c r="K67" s="95">
        <f>0</f>
        <v>0</v>
      </c>
      <c r="L67" s="95">
        <f>0</f>
        <v>0</v>
      </c>
      <c r="M67" s="95">
        <f>((((((((((B67)+(C67))+(D67))+(E67))+(F67))+(G67))+(H67))+(I67))+(J67))+(K67))+(L67)</f>
        <v>1.45</v>
      </c>
    </row>
    <row r="68" spans="1:13" x14ac:dyDescent="0.25">
      <c r="A68" s="183" t="s">
        <v>94</v>
      </c>
      <c r="B68" s="94">
        <f t="shared" ref="B68:L68" si="8">(B66)+(B67)</f>
        <v>1.7</v>
      </c>
      <c r="C68" s="94">
        <f t="shared" si="8"/>
        <v>1.54</v>
      </c>
      <c r="D68" s="94">
        <f t="shared" si="8"/>
        <v>1.47</v>
      </c>
      <c r="E68" s="94">
        <f t="shared" si="8"/>
        <v>1</v>
      </c>
      <c r="F68" s="94">
        <f t="shared" si="8"/>
        <v>2.4900000000000002</v>
      </c>
      <c r="G68" s="94">
        <f t="shared" si="8"/>
        <v>2.62</v>
      </c>
      <c r="H68" s="94">
        <f t="shared" si="8"/>
        <v>2.67</v>
      </c>
      <c r="I68" s="94">
        <f t="shared" si="8"/>
        <v>2.41</v>
      </c>
      <c r="J68" s="94">
        <f t="shared" si="8"/>
        <v>2.62</v>
      </c>
      <c r="K68" s="94">
        <f t="shared" si="8"/>
        <v>2.4700000000000002</v>
      </c>
      <c r="L68" s="94">
        <f t="shared" si="8"/>
        <v>0</v>
      </c>
      <c r="M68" s="94">
        <f>((((((((((B68)+(C68))+(D68))+(E68))+(F68))+(G68))+(H68))+(I68))+(J68))+(K68))+(L68)</f>
        <v>20.99</v>
      </c>
    </row>
    <row r="69" spans="1:13" x14ac:dyDescent="0.25">
      <c r="A69" s="183" t="s">
        <v>95</v>
      </c>
      <c r="B69" s="94">
        <f t="shared" ref="B69:L69" si="9">(B68)-(0)</f>
        <v>1.7</v>
      </c>
      <c r="C69" s="94">
        <f t="shared" si="9"/>
        <v>1.54</v>
      </c>
      <c r="D69" s="94">
        <f t="shared" si="9"/>
        <v>1.47</v>
      </c>
      <c r="E69" s="94">
        <f t="shared" si="9"/>
        <v>1</v>
      </c>
      <c r="F69" s="94">
        <f t="shared" si="9"/>
        <v>2.4900000000000002</v>
      </c>
      <c r="G69" s="94">
        <f t="shared" si="9"/>
        <v>2.62</v>
      </c>
      <c r="H69" s="94">
        <f t="shared" si="9"/>
        <v>2.67</v>
      </c>
      <c r="I69" s="94">
        <f t="shared" si="9"/>
        <v>2.41</v>
      </c>
      <c r="J69" s="94">
        <f t="shared" si="9"/>
        <v>2.62</v>
      </c>
      <c r="K69" s="94">
        <f t="shared" si="9"/>
        <v>2.4700000000000002</v>
      </c>
      <c r="L69" s="94">
        <f t="shared" si="9"/>
        <v>0</v>
      </c>
      <c r="M69" s="94">
        <f>((((((((((B69)+(C69))+(D69))+(E69))+(F69))+(G69))+(H69))+(I69))+(J69))+(K69))+(L69)</f>
        <v>20.99</v>
      </c>
    </row>
    <row r="70" spans="1:13" x14ac:dyDescent="0.25">
      <c r="A70" s="183" t="s">
        <v>96</v>
      </c>
      <c r="B70" s="94">
        <f t="shared" ref="B70:L70" si="10">(B64)+(B69)</f>
        <v>-23.3</v>
      </c>
      <c r="C70" s="94">
        <f t="shared" si="10"/>
        <v>-2903.55</v>
      </c>
      <c r="D70" s="94">
        <f t="shared" si="10"/>
        <v>-372.74000000000092</v>
      </c>
      <c r="E70" s="94">
        <f t="shared" si="10"/>
        <v>2707.9300000000003</v>
      </c>
      <c r="F70" s="94">
        <f t="shared" si="10"/>
        <v>24243.21</v>
      </c>
      <c r="G70" s="94">
        <f t="shared" si="10"/>
        <v>-808.7</v>
      </c>
      <c r="H70" s="94">
        <f t="shared" si="10"/>
        <v>1752.92</v>
      </c>
      <c r="I70" s="94">
        <f t="shared" si="10"/>
        <v>-1592.5400000000002</v>
      </c>
      <c r="J70" s="94">
        <f t="shared" si="10"/>
        <v>-851.41</v>
      </c>
      <c r="K70" s="94">
        <f t="shared" si="10"/>
        <v>-2459.5600000000004</v>
      </c>
      <c r="L70" s="94">
        <f t="shared" si="10"/>
        <v>387.88000000000011</v>
      </c>
      <c r="M70" s="94">
        <f>((((((((((B70)+(C70))+(D70))+(E70))+(F70))+(G70))+(H70))+(I70))+(J70))+(K70))+(L70)</f>
        <v>20080.139999999996</v>
      </c>
    </row>
    <row r="71" spans="1:13" x14ac:dyDescent="0.25">
      <c r="A71" s="183"/>
      <c r="B71" s="92"/>
      <c r="C71" s="92"/>
      <c r="D71" s="92"/>
      <c r="E71" s="92"/>
      <c r="F71" s="92"/>
      <c r="G71" s="92"/>
      <c r="H71" s="92"/>
      <c r="I71" s="92"/>
      <c r="J71" s="92"/>
      <c r="K71" s="92"/>
      <c r="L71" s="92"/>
      <c r="M71" s="92"/>
    </row>
    <row r="74" spans="1:13" x14ac:dyDescent="0.25">
      <c r="A74" s="185" t="s">
        <v>321</v>
      </c>
      <c r="B74" s="186"/>
      <c r="C74" s="186"/>
      <c r="D74" s="186"/>
      <c r="E74" s="186"/>
      <c r="F74" s="186"/>
      <c r="G74" s="186"/>
      <c r="H74" s="186"/>
      <c r="I74" s="186"/>
      <c r="J74" s="186"/>
      <c r="K74" s="186"/>
      <c r="L74" s="186"/>
      <c r="M74" s="186"/>
    </row>
  </sheetData>
  <mergeCells count="4">
    <mergeCell ref="A74:M74"/>
    <mergeCell ref="A1:M1"/>
    <mergeCell ref="A2:M2"/>
    <mergeCell ref="A3:M3"/>
  </mergeCells>
  <printOptions horizontalCentered="1"/>
  <pageMargins left="0.7" right="0.7" top="0.25" bottom="0.25" header="0" footer="0"/>
  <pageSetup scale="87" fitToHeight="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92091-CC1A-4C3A-A8D1-491C11E1FFA9}">
  <sheetPr>
    <pageSetUpPr fitToPage="1"/>
  </sheetPr>
  <dimension ref="A1:G119"/>
  <sheetViews>
    <sheetView workbookViewId="0">
      <selection activeCell="A119" sqref="A1:G119"/>
    </sheetView>
  </sheetViews>
  <sheetFormatPr defaultRowHeight="15" x14ac:dyDescent="0.25"/>
  <cols>
    <col min="1" max="1" width="35.42578125" style="91" customWidth="1"/>
    <col min="2" max="4" width="9.42578125" style="91" customWidth="1"/>
    <col min="5" max="5" width="11.140625" style="91" customWidth="1"/>
    <col min="6" max="7" width="9.42578125" style="91" customWidth="1"/>
    <col min="8" max="16384" width="9.140625" style="91"/>
  </cols>
  <sheetData>
    <row r="1" spans="1:7" ht="18" x14ac:dyDescent="0.25">
      <c r="A1" s="187" t="s">
        <v>223</v>
      </c>
      <c r="B1" s="186"/>
      <c r="C1" s="186"/>
      <c r="D1" s="186"/>
      <c r="E1" s="186"/>
      <c r="F1" s="186"/>
      <c r="G1" s="186"/>
    </row>
    <row r="2" spans="1:7" ht="18" x14ac:dyDescent="0.25">
      <c r="A2" s="187" t="s">
        <v>222</v>
      </c>
      <c r="B2" s="186"/>
      <c r="C2" s="186"/>
      <c r="D2" s="186"/>
      <c r="E2" s="186"/>
      <c r="F2" s="186"/>
      <c r="G2" s="186"/>
    </row>
    <row r="3" spans="1:7" x14ac:dyDescent="0.25">
      <c r="A3" s="188" t="s">
        <v>275</v>
      </c>
      <c r="B3" s="186"/>
      <c r="C3" s="186"/>
      <c r="D3" s="186"/>
      <c r="E3" s="186"/>
      <c r="F3" s="186"/>
      <c r="G3" s="186"/>
    </row>
    <row r="4" spans="1:7" ht="41.25" customHeight="1" x14ac:dyDescent="0.25">
      <c r="B4" s="96" t="s">
        <v>274</v>
      </c>
      <c r="C4" s="96" t="s">
        <v>273</v>
      </c>
      <c r="D4" s="96" t="s">
        <v>272</v>
      </c>
      <c r="E4" s="96" t="s">
        <v>271</v>
      </c>
      <c r="F4" s="96" t="s">
        <v>270</v>
      </c>
      <c r="G4" s="142" t="s">
        <v>339</v>
      </c>
    </row>
    <row r="5" spans="1:7" x14ac:dyDescent="0.25">
      <c r="A5" s="183" t="s">
        <v>13</v>
      </c>
      <c r="B5" s="92"/>
      <c r="C5" s="92"/>
      <c r="D5" s="92"/>
      <c r="E5" s="92"/>
      <c r="F5" s="92"/>
      <c r="G5" s="143"/>
    </row>
    <row r="6" spans="1:7" x14ac:dyDescent="0.25">
      <c r="A6" s="183" t="s">
        <v>210</v>
      </c>
      <c r="B6" s="95">
        <f>2592.77</f>
        <v>2592.77</v>
      </c>
      <c r="C6" s="95">
        <f>0</f>
        <v>0</v>
      </c>
      <c r="D6" s="95">
        <f>1699.31</f>
        <v>1699.31</v>
      </c>
      <c r="E6" s="95">
        <f>2423</f>
        <v>2423</v>
      </c>
      <c r="F6" s="95">
        <f>0</f>
        <v>0</v>
      </c>
      <c r="G6" s="144">
        <f>407.2</f>
        <v>407.2</v>
      </c>
    </row>
    <row r="7" spans="1:7" x14ac:dyDescent="0.25">
      <c r="A7" s="183" t="s">
        <v>269</v>
      </c>
      <c r="B7" s="95">
        <f>0</f>
        <v>0</v>
      </c>
      <c r="C7" s="95">
        <f>0</f>
        <v>0</v>
      </c>
      <c r="D7" s="95">
        <f>260.8</f>
        <v>260.8</v>
      </c>
      <c r="E7" s="95">
        <f>0</f>
        <v>0</v>
      </c>
      <c r="F7" s="95">
        <f>0</f>
        <v>0</v>
      </c>
      <c r="G7" s="144">
        <f>0</f>
        <v>0</v>
      </c>
    </row>
    <row r="8" spans="1:7" x14ac:dyDescent="0.25">
      <c r="A8" s="183" t="s">
        <v>268</v>
      </c>
      <c r="B8" s="94">
        <f t="shared" ref="B8:G8" si="0">(B6)+(B7)</f>
        <v>2592.77</v>
      </c>
      <c r="C8" s="94">
        <f t="shared" si="0"/>
        <v>0</v>
      </c>
      <c r="D8" s="94">
        <f t="shared" si="0"/>
        <v>1960.11</v>
      </c>
      <c r="E8" s="94">
        <f t="shared" si="0"/>
        <v>2423</v>
      </c>
      <c r="F8" s="94">
        <f t="shared" si="0"/>
        <v>0</v>
      </c>
      <c r="G8" s="145">
        <f t="shared" si="0"/>
        <v>407.2</v>
      </c>
    </row>
    <row r="9" spans="1:7" x14ac:dyDescent="0.25">
      <c r="A9" s="183" t="s">
        <v>267</v>
      </c>
      <c r="B9" s="95">
        <f>0</f>
        <v>0</v>
      </c>
      <c r="C9" s="95">
        <f>0</f>
        <v>0</v>
      </c>
      <c r="D9" s="95">
        <f>0</f>
        <v>0</v>
      </c>
      <c r="E9" s="95">
        <f>0</f>
        <v>0</v>
      </c>
      <c r="F9" s="95">
        <f>0</f>
        <v>0</v>
      </c>
      <c r="G9" s="144">
        <f>0</f>
        <v>0</v>
      </c>
    </row>
    <row r="10" spans="1:7" x14ac:dyDescent="0.25">
      <c r="A10" s="183" t="s">
        <v>266</v>
      </c>
      <c r="B10" s="95">
        <f>50</f>
        <v>50</v>
      </c>
      <c r="C10" s="95">
        <f>44</f>
        <v>44</v>
      </c>
      <c r="D10" s="95">
        <f>29</f>
        <v>29</v>
      </c>
      <c r="E10" s="95">
        <f>0</f>
        <v>0</v>
      </c>
      <c r="F10" s="95">
        <f>0</f>
        <v>0</v>
      </c>
      <c r="G10" s="144">
        <f>0</f>
        <v>0</v>
      </c>
    </row>
    <row r="11" spans="1:7" x14ac:dyDescent="0.25">
      <c r="A11" s="183" t="s">
        <v>209</v>
      </c>
      <c r="B11" s="95">
        <f>0</f>
        <v>0</v>
      </c>
      <c r="C11" s="95">
        <f>0</f>
        <v>0</v>
      </c>
      <c r="D11" s="95">
        <f>0</f>
        <v>0</v>
      </c>
      <c r="E11" s="95">
        <f>0</f>
        <v>0</v>
      </c>
      <c r="F11" s="95">
        <f>3901.52</f>
        <v>3901.52</v>
      </c>
      <c r="G11" s="144">
        <f>2903.85</f>
        <v>2903.85</v>
      </c>
    </row>
    <row r="12" spans="1:7" x14ac:dyDescent="0.25">
      <c r="A12" s="183" t="s">
        <v>208</v>
      </c>
      <c r="B12" s="95">
        <f>0</f>
        <v>0</v>
      </c>
      <c r="C12" s="95">
        <f>0</f>
        <v>0</v>
      </c>
      <c r="D12" s="95">
        <f>2275</f>
        <v>2275</v>
      </c>
      <c r="E12" s="95">
        <f>0</f>
        <v>0</v>
      </c>
      <c r="F12" s="95">
        <f>2000</f>
        <v>2000</v>
      </c>
      <c r="G12" s="144">
        <f>1900+700</f>
        <v>2600</v>
      </c>
    </row>
    <row r="13" spans="1:7" x14ac:dyDescent="0.25">
      <c r="A13" s="183" t="s">
        <v>207</v>
      </c>
      <c r="B13" s="95">
        <f>987.8</f>
        <v>987.8</v>
      </c>
      <c r="C13" s="95">
        <f>634.3</f>
        <v>634.29999999999995</v>
      </c>
      <c r="D13" s="95">
        <f>434.7</f>
        <v>434.7</v>
      </c>
      <c r="E13" s="95">
        <f>173.4</f>
        <v>173.4</v>
      </c>
      <c r="F13" s="95">
        <f>177.1</f>
        <v>177.1</v>
      </c>
      <c r="G13" s="144">
        <f>124.9</f>
        <v>124.9</v>
      </c>
    </row>
    <row r="14" spans="1:7" x14ac:dyDescent="0.25">
      <c r="A14" s="183" t="s">
        <v>265</v>
      </c>
      <c r="B14" s="95">
        <f>2877.5</f>
        <v>2877.5</v>
      </c>
      <c r="C14" s="95">
        <f>1686.3</f>
        <v>1686.3</v>
      </c>
      <c r="D14" s="95">
        <f>0</f>
        <v>0</v>
      </c>
      <c r="E14" s="95">
        <f>340</f>
        <v>340</v>
      </c>
      <c r="F14" s="95">
        <f>0</f>
        <v>0</v>
      </c>
      <c r="G14" s="144">
        <f>0</f>
        <v>0</v>
      </c>
    </row>
    <row r="15" spans="1:7" x14ac:dyDescent="0.25">
      <c r="A15" s="183" t="s">
        <v>206</v>
      </c>
      <c r="B15" s="95">
        <f>0</f>
        <v>0</v>
      </c>
      <c r="C15" s="95">
        <f>0</f>
        <v>0</v>
      </c>
      <c r="D15" s="95">
        <f>0</f>
        <v>0</v>
      </c>
      <c r="E15" s="95">
        <f>0</f>
        <v>0</v>
      </c>
      <c r="F15" s="95">
        <f>1114.15</f>
        <v>1114.1500000000001</v>
      </c>
      <c r="G15" s="144">
        <f>0</f>
        <v>0</v>
      </c>
    </row>
    <row r="16" spans="1:7" x14ac:dyDescent="0.25">
      <c r="A16" s="183" t="s">
        <v>264</v>
      </c>
      <c r="B16" s="95">
        <f>0</f>
        <v>0</v>
      </c>
      <c r="C16" s="95">
        <f>0</f>
        <v>0</v>
      </c>
      <c r="D16" s="95">
        <f>1575</f>
        <v>1575</v>
      </c>
      <c r="E16" s="95">
        <f>218.35</f>
        <v>218.35</v>
      </c>
      <c r="F16" s="95">
        <f>0</f>
        <v>0</v>
      </c>
      <c r="G16" s="144">
        <f>0</f>
        <v>0</v>
      </c>
    </row>
    <row r="17" spans="1:7" x14ac:dyDescent="0.25">
      <c r="A17" s="183" t="s">
        <v>205</v>
      </c>
      <c r="B17" s="95">
        <f>30280.69</f>
        <v>30280.69</v>
      </c>
      <c r="C17" s="95">
        <f>26541.02</f>
        <v>26541.02</v>
      </c>
      <c r="D17" s="95">
        <f>27929.22</f>
        <v>27929.22</v>
      </c>
      <c r="E17" s="95">
        <f>12022.91</f>
        <v>12022.91</v>
      </c>
      <c r="F17" s="95">
        <f>26221.75</f>
        <v>26221.75</v>
      </c>
      <c r="G17" s="144">
        <f>29328.72</f>
        <v>29328.720000000001</v>
      </c>
    </row>
    <row r="18" spans="1:7" x14ac:dyDescent="0.25">
      <c r="A18" s="183" t="s">
        <v>263</v>
      </c>
      <c r="B18" s="95">
        <f>145</f>
        <v>145</v>
      </c>
      <c r="C18" s="95">
        <f>1372.6</f>
        <v>1372.6</v>
      </c>
      <c r="D18" s="95">
        <f>2166.93</f>
        <v>2166.9299999999998</v>
      </c>
      <c r="E18" s="95">
        <f>3094.45</f>
        <v>3094.45</v>
      </c>
      <c r="F18" s="95">
        <f>0</f>
        <v>0</v>
      </c>
      <c r="G18" s="144">
        <f>0</f>
        <v>0</v>
      </c>
    </row>
    <row r="19" spans="1:7" x14ac:dyDescent="0.25">
      <c r="A19" s="183" t="s">
        <v>204</v>
      </c>
      <c r="B19" s="95">
        <f>0.54</f>
        <v>0.54</v>
      </c>
      <c r="C19" s="95">
        <f>1183.46</f>
        <v>1183.46</v>
      </c>
      <c r="D19" s="95">
        <f>313.05</f>
        <v>313.05</v>
      </c>
      <c r="E19" s="95">
        <f>1327.23</f>
        <v>1327.23</v>
      </c>
      <c r="F19" s="95">
        <f>2146.29</f>
        <v>2146.29</v>
      </c>
      <c r="G19" s="144">
        <f>1746.05</f>
        <v>1746.05</v>
      </c>
    </row>
    <row r="20" spans="1:7" x14ac:dyDescent="0.25">
      <c r="A20" s="183" t="s">
        <v>203</v>
      </c>
      <c r="B20" s="95">
        <f>0</f>
        <v>0</v>
      </c>
      <c r="C20" s="95">
        <f>0</f>
        <v>0</v>
      </c>
      <c r="D20" s="95">
        <f>0</f>
        <v>0</v>
      </c>
      <c r="E20" s="95">
        <f>0</f>
        <v>0</v>
      </c>
      <c r="F20" s="95">
        <f>0</f>
        <v>0</v>
      </c>
      <c r="G20" s="144">
        <f>249.55</f>
        <v>249.55</v>
      </c>
    </row>
    <row r="21" spans="1:7" x14ac:dyDescent="0.25">
      <c r="A21" s="183" t="s">
        <v>262</v>
      </c>
      <c r="B21" s="95">
        <f>196</f>
        <v>196</v>
      </c>
      <c r="C21" s="95">
        <f>0</f>
        <v>0</v>
      </c>
      <c r="D21" s="95">
        <f>0</f>
        <v>0</v>
      </c>
      <c r="E21" s="95">
        <f>0</f>
        <v>0</v>
      </c>
      <c r="F21" s="95">
        <f>0</f>
        <v>0</v>
      </c>
      <c r="G21" s="144">
        <f>0</f>
        <v>0</v>
      </c>
    </row>
    <row r="22" spans="1:7" x14ac:dyDescent="0.25">
      <c r="A22" s="183" t="s">
        <v>261</v>
      </c>
      <c r="B22" s="95">
        <f>6913.18</f>
        <v>6913.18</v>
      </c>
      <c r="C22" s="95">
        <f>0</f>
        <v>0</v>
      </c>
      <c r="D22" s="95">
        <f>0</f>
        <v>0</v>
      </c>
      <c r="E22" s="95">
        <f>0</f>
        <v>0</v>
      </c>
      <c r="F22" s="95">
        <f>0</f>
        <v>0</v>
      </c>
      <c r="G22" s="144">
        <f>0</f>
        <v>0</v>
      </c>
    </row>
    <row r="23" spans="1:7" x14ac:dyDescent="0.25">
      <c r="A23" s="183" t="s">
        <v>260</v>
      </c>
      <c r="B23" s="95">
        <f>1302.52</f>
        <v>1302.52</v>
      </c>
      <c r="C23" s="95">
        <f>861.87</f>
        <v>861.87</v>
      </c>
      <c r="D23" s="95">
        <f>636.64</f>
        <v>636.64</v>
      </c>
      <c r="E23" s="95">
        <f>0</f>
        <v>0</v>
      </c>
      <c r="F23" s="95">
        <f>0</f>
        <v>0</v>
      </c>
      <c r="G23" s="144">
        <f>0</f>
        <v>0</v>
      </c>
    </row>
    <row r="24" spans="1:7" x14ac:dyDescent="0.25">
      <c r="A24" s="183" t="s">
        <v>320</v>
      </c>
      <c r="B24" s="95">
        <f>0</f>
        <v>0</v>
      </c>
      <c r="C24" s="95">
        <f>1077.63</f>
        <v>1077.6300000000001</v>
      </c>
      <c r="D24" s="95">
        <f>217.04</f>
        <v>217.04</v>
      </c>
      <c r="E24" s="95">
        <f>0</f>
        <v>0</v>
      </c>
      <c r="F24" s="95">
        <f>231.14</f>
        <v>231.14</v>
      </c>
      <c r="G24" s="144">
        <f>990.39+1711.5</f>
        <v>2701.89</v>
      </c>
    </row>
    <row r="25" spans="1:7" x14ac:dyDescent="0.25">
      <c r="A25" s="183" t="s">
        <v>202</v>
      </c>
      <c r="B25" s="95">
        <f>112.99</f>
        <v>112.99</v>
      </c>
      <c r="C25" s="95">
        <f>714.36</f>
        <v>714.36</v>
      </c>
      <c r="D25" s="95">
        <f>1328.09</f>
        <v>1328.09</v>
      </c>
      <c r="E25" s="95">
        <f>913.38</f>
        <v>913.38</v>
      </c>
      <c r="F25" s="95">
        <f>995.1</f>
        <v>995.1</v>
      </c>
      <c r="G25" s="144">
        <f>0</f>
        <v>0</v>
      </c>
    </row>
    <row r="26" spans="1:7" x14ac:dyDescent="0.25">
      <c r="A26" s="183" t="s">
        <v>201</v>
      </c>
      <c r="B26" s="95">
        <f>0</f>
        <v>0</v>
      </c>
      <c r="C26" s="95">
        <f>0</f>
        <v>0</v>
      </c>
      <c r="D26" s="95">
        <f>0</f>
        <v>0</v>
      </c>
      <c r="E26" s="95">
        <f>0</f>
        <v>0</v>
      </c>
      <c r="F26" s="95">
        <f>0</f>
        <v>0</v>
      </c>
      <c r="G26" s="144">
        <f>505.93</f>
        <v>505.93</v>
      </c>
    </row>
    <row r="27" spans="1:7" x14ac:dyDescent="0.25">
      <c r="A27" s="183" t="s">
        <v>200</v>
      </c>
      <c r="B27" s="95">
        <f>0</f>
        <v>0</v>
      </c>
      <c r="C27" s="95">
        <f>0</f>
        <v>0</v>
      </c>
      <c r="D27" s="95">
        <f>0</f>
        <v>0</v>
      </c>
      <c r="E27" s="95">
        <f>0</f>
        <v>0</v>
      </c>
      <c r="F27" s="95">
        <f>0</f>
        <v>0</v>
      </c>
      <c r="G27" s="144">
        <f>459.81</f>
        <v>459.81</v>
      </c>
    </row>
    <row r="28" spans="1:7" x14ac:dyDescent="0.25">
      <c r="A28" s="183" t="s">
        <v>199</v>
      </c>
      <c r="B28" s="94">
        <f t="shared" ref="B28:G28" si="1">((B25)+(B26))+(B27)</f>
        <v>112.99</v>
      </c>
      <c r="C28" s="94">
        <f t="shared" si="1"/>
        <v>714.36</v>
      </c>
      <c r="D28" s="94">
        <f t="shared" si="1"/>
        <v>1328.09</v>
      </c>
      <c r="E28" s="94">
        <f t="shared" si="1"/>
        <v>913.38</v>
      </c>
      <c r="F28" s="94">
        <f t="shared" si="1"/>
        <v>995.1</v>
      </c>
      <c r="G28" s="145">
        <f t="shared" si="1"/>
        <v>965.74</v>
      </c>
    </row>
    <row r="29" spans="1:7" x14ac:dyDescent="0.25">
      <c r="A29" s="183" t="s">
        <v>259</v>
      </c>
      <c r="B29" s="95">
        <f>5200</f>
        <v>5200</v>
      </c>
      <c r="C29" s="95">
        <f>0</f>
        <v>0</v>
      </c>
      <c r="D29" s="95">
        <f>0</f>
        <v>0</v>
      </c>
      <c r="E29" s="95">
        <f>0</f>
        <v>0</v>
      </c>
      <c r="F29" s="95">
        <f>0</f>
        <v>0</v>
      </c>
      <c r="G29" s="144">
        <f>0</f>
        <v>0</v>
      </c>
    </row>
    <row r="30" spans="1:7" x14ac:dyDescent="0.25">
      <c r="A30" s="183" t="s">
        <v>198</v>
      </c>
      <c r="B30" s="95">
        <f>4934.41</f>
        <v>4934.41</v>
      </c>
      <c r="C30" s="95">
        <f>6554.02</f>
        <v>6554.02</v>
      </c>
      <c r="D30" s="95">
        <f>4426.05</f>
        <v>4426.05</v>
      </c>
      <c r="E30" s="95">
        <f>7020.2</f>
        <v>7020.2</v>
      </c>
      <c r="F30" s="95">
        <f>9324.77</f>
        <v>9324.77</v>
      </c>
      <c r="G30" s="144">
        <f>7369.83</f>
        <v>7369.83</v>
      </c>
    </row>
    <row r="31" spans="1:7" x14ac:dyDescent="0.25">
      <c r="A31" s="183" t="s">
        <v>258</v>
      </c>
      <c r="B31" s="95">
        <f>526.8</f>
        <v>526.79999999999995</v>
      </c>
      <c r="C31" s="95">
        <f>388</f>
        <v>388</v>
      </c>
      <c r="D31" s="95">
        <f>0</f>
        <v>0</v>
      </c>
      <c r="E31" s="95">
        <f>0</f>
        <v>0</v>
      </c>
      <c r="F31" s="95">
        <f>654.25</f>
        <v>654.25</v>
      </c>
      <c r="G31" s="144">
        <f>0</f>
        <v>0</v>
      </c>
    </row>
    <row r="32" spans="1:7" x14ac:dyDescent="0.25">
      <c r="A32" s="183" t="s">
        <v>257</v>
      </c>
      <c r="B32" s="95">
        <f>0</f>
        <v>0</v>
      </c>
      <c r="C32" s="95">
        <f>0</f>
        <v>0</v>
      </c>
      <c r="D32" s="95">
        <f>200</f>
        <v>200</v>
      </c>
      <c r="E32" s="95">
        <f>0</f>
        <v>0</v>
      </c>
      <c r="F32" s="95">
        <f>0</f>
        <v>0</v>
      </c>
      <c r="G32" s="144">
        <f>0</f>
        <v>0</v>
      </c>
    </row>
    <row r="33" spans="1:7" x14ac:dyDescent="0.25">
      <c r="A33" s="183" t="s">
        <v>256</v>
      </c>
      <c r="B33" s="95">
        <f>55</f>
        <v>55</v>
      </c>
      <c r="C33" s="95">
        <f>0</f>
        <v>0</v>
      </c>
      <c r="D33" s="95">
        <f>0</f>
        <v>0</v>
      </c>
      <c r="E33" s="95">
        <f>0</f>
        <v>0</v>
      </c>
      <c r="F33" s="95">
        <f>0</f>
        <v>0</v>
      </c>
      <c r="G33" s="144">
        <f>0</f>
        <v>0</v>
      </c>
    </row>
    <row r="34" spans="1:7" x14ac:dyDescent="0.25">
      <c r="A34" s="183" t="s">
        <v>197</v>
      </c>
      <c r="B34" s="95">
        <f>0</f>
        <v>0</v>
      </c>
      <c r="C34" s="95">
        <f>0</f>
        <v>0</v>
      </c>
      <c r="D34" s="95">
        <f>0</f>
        <v>0</v>
      </c>
      <c r="E34" s="95">
        <f>0</f>
        <v>0</v>
      </c>
      <c r="F34" s="95">
        <f>1346.36</f>
        <v>1346.36</v>
      </c>
      <c r="G34" s="144">
        <f>233.33</f>
        <v>233.33</v>
      </c>
    </row>
    <row r="35" spans="1:7" x14ac:dyDescent="0.25">
      <c r="A35" s="183" t="s">
        <v>28</v>
      </c>
      <c r="B35" s="94">
        <f t="shared" ref="B35:G35" si="2">(((((((((((((((((((((((B8)+(B9))+(B10))+(B11))+(B12))+(B13))+(B14))+(B15))+(B16))+(B17))+(B18))+(B19))+(B20))+(B21))+(B22))+(B23))+(B24))+(B28))+(B29))+(B30))+(B31))+(B32))+(B33))+(B34)</f>
        <v>56175.199999999997</v>
      </c>
      <c r="C35" s="94">
        <f t="shared" si="2"/>
        <v>41057.56</v>
      </c>
      <c r="D35" s="94">
        <f t="shared" si="2"/>
        <v>43490.83</v>
      </c>
      <c r="E35" s="94">
        <f t="shared" si="2"/>
        <v>27532.920000000002</v>
      </c>
      <c r="F35" s="94">
        <f t="shared" si="2"/>
        <v>48112.430000000008</v>
      </c>
      <c r="G35" s="145">
        <f t="shared" si="2"/>
        <v>48631.060000000005</v>
      </c>
    </row>
    <row r="36" spans="1:7" x14ac:dyDescent="0.25">
      <c r="A36" s="183" t="s">
        <v>196</v>
      </c>
      <c r="B36" s="94">
        <f t="shared" ref="B36:G36" si="3">(B35)-(0)</f>
        <v>56175.199999999997</v>
      </c>
      <c r="C36" s="94">
        <f t="shared" si="3"/>
        <v>41057.56</v>
      </c>
      <c r="D36" s="94">
        <f t="shared" si="3"/>
        <v>43490.83</v>
      </c>
      <c r="E36" s="94">
        <f t="shared" si="3"/>
        <v>27532.920000000002</v>
      </c>
      <c r="F36" s="94">
        <f t="shared" si="3"/>
        <v>48112.430000000008</v>
      </c>
      <c r="G36" s="145">
        <f t="shared" si="3"/>
        <v>48631.060000000005</v>
      </c>
    </row>
    <row r="37" spans="1:7" x14ac:dyDescent="0.25">
      <c r="A37" s="183" t="s">
        <v>29</v>
      </c>
      <c r="B37" s="92"/>
      <c r="C37" s="92"/>
      <c r="D37" s="92"/>
      <c r="E37" s="92"/>
      <c r="F37" s="92"/>
      <c r="G37" s="143"/>
    </row>
    <row r="38" spans="1:7" x14ac:dyDescent="0.25">
      <c r="A38" s="183" t="s">
        <v>195</v>
      </c>
      <c r="B38" s="95">
        <f>1912.77</f>
        <v>1912.77</v>
      </c>
      <c r="C38" s="95">
        <f>0</f>
        <v>0</v>
      </c>
      <c r="D38" s="95">
        <f>1774.84</f>
        <v>1774.84</v>
      </c>
      <c r="E38" s="95">
        <f>2165.75</f>
        <v>2165.75</v>
      </c>
      <c r="F38" s="95">
        <f>1461.7</f>
        <v>1461.7</v>
      </c>
      <c r="G38" s="144">
        <f>500</f>
        <v>500</v>
      </c>
    </row>
    <row r="39" spans="1:7" x14ac:dyDescent="0.25">
      <c r="A39" s="183" t="s">
        <v>255</v>
      </c>
      <c r="B39" s="95">
        <f>4217</f>
        <v>4217</v>
      </c>
      <c r="C39" s="95">
        <f>0</f>
        <v>0</v>
      </c>
      <c r="D39" s="95">
        <f>0</f>
        <v>0</v>
      </c>
      <c r="E39" s="95">
        <f>0</f>
        <v>0</v>
      </c>
      <c r="F39" s="95">
        <f>0</f>
        <v>0</v>
      </c>
      <c r="G39" s="144">
        <f>0</f>
        <v>0</v>
      </c>
    </row>
    <row r="40" spans="1:7" x14ac:dyDescent="0.25">
      <c r="A40" s="183" t="s">
        <v>194</v>
      </c>
      <c r="B40" s="95">
        <f>1504.45</f>
        <v>1504.45</v>
      </c>
      <c r="C40" s="95">
        <f>1499.51</f>
        <v>1499.51</v>
      </c>
      <c r="D40" s="95">
        <f>1501.21</f>
        <v>1501.21</v>
      </c>
      <c r="E40" s="95">
        <f>477.08</f>
        <v>477.08</v>
      </c>
      <c r="F40" s="95">
        <f>248.5</f>
        <v>248.5</v>
      </c>
      <c r="G40" s="144">
        <f>548.55</f>
        <v>548.54999999999995</v>
      </c>
    </row>
    <row r="41" spans="1:7" x14ac:dyDescent="0.25">
      <c r="A41" s="183" t="s">
        <v>193</v>
      </c>
      <c r="B41" s="95">
        <f>2446.01</f>
        <v>2446.0100000000002</v>
      </c>
      <c r="C41" s="95">
        <f>1920</f>
        <v>1920</v>
      </c>
      <c r="D41" s="95">
        <f>1850</f>
        <v>1850</v>
      </c>
      <c r="E41" s="95">
        <f>1350</f>
        <v>1350</v>
      </c>
      <c r="F41" s="95">
        <f>600</f>
        <v>600</v>
      </c>
      <c r="G41" s="144">
        <f>800</f>
        <v>800</v>
      </c>
    </row>
    <row r="42" spans="1:7" x14ac:dyDescent="0.25">
      <c r="A42" s="183" t="s">
        <v>254</v>
      </c>
      <c r="B42" s="95">
        <f>21.6</f>
        <v>21.6</v>
      </c>
      <c r="C42" s="95">
        <f>0</f>
        <v>0</v>
      </c>
      <c r="D42" s="95">
        <f>0</f>
        <v>0</v>
      </c>
      <c r="E42" s="95">
        <f>0</f>
        <v>0</v>
      </c>
      <c r="F42" s="95">
        <f>0</f>
        <v>0</v>
      </c>
      <c r="G42" s="144">
        <f>0</f>
        <v>0</v>
      </c>
    </row>
    <row r="43" spans="1:7" x14ac:dyDescent="0.25">
      <c r="A43" s="183" t="s">
        <v>192</v>
      </c>
      <c r="B43" s="95">
        <f>1389.65</f>
        <v>1389.65</v>
      </c>
      <c r="C43" s="95">
        <f>1398.7</f>
        <v>1398.7</v>
      </c>
      <c r="D43" s="95">
        <f>1225.59</f>
        <v>1225.5899999999999</v>
      </c>
      <c r="E43" s="95">
        <f>1574</f>
        <v>1574</v>
      </c>
      <c r="F43" s="95">
        <f>1337.04</f>
        <v>1337.04</v>
      </c>
      <c r="G43" s="144">
        <f>1248.32</f>
        <v>1248.32</v>
      </c>
    </row>
    <row r="44" spans="1:7" x14ac:dyDescent="0.25">
      <c r="A44" s="183" t="s">
        <v>253</v>
      </c>
      <c r="B44" s="95">
        <f>92.2</f>
        <v>92.2</v>
      </c>
      <c r="C44" s="95">
        <f>62.96</f>
        <v>62.96</v>
      </c>
      <c r="D44" s="95">
        <f>93.83</f>
        <v>93.83</v>
      </c>
      <c r="E44" s="95">
        <f>0</f>
        <v>0</v>
      </c>
      <c r="F44" s="95">
        <f>0</f>
        <v>0</v>
      </c>
      <c r="G44" s="144">
        <f>0</f>
        <v>0</v>
      </c>
    </row>
    <row r="45" spans="1:7" x14ac:dyDescent="0.25">
      <c r="A45" s="183" t="s">
        <v>191</v>
      </c>
      <c r="B45" s="95">
        <f>195</f>
        <v>195</v>
      </c>
      <c r="C45" s="95">
        <f>0</f>
        <v>0</v>
      </c>
      <c r="D45" s="95">
        <f>0</f>
        <v>0</v>
      </c>
      <c r="E45" s="95">
        <f>0</f>
        <v>0</v>
      </c>
      <c r="F45" s="95">
        <f>3011.96</f>
        <v>3011.96</v>
      </c>
      <c r="G45" s="144">
        <f>286</f>
        <v>286</v>
      </c>
    </row>
    <row r="46" spans="1:7" x14ac:dyDescent="0.25">
      <c r="A46" s="183" t="s">
        <v>252</v>
      </c>
      <c r="B46" s="95">
        <f>0</f>
        <v>0</v>
      </c>
      <c r="C46" s="95">
        <f>0</f>
        <v>0</v>
      </c>
      <c r="D46" s="95">
        <f>0</f>
        <v>0</v>
      </c>
      <c r="E46" s="95">
        <f>498.34</f>
        <v>498.34</v>
      </c>
      <c r="F46" s="95">
        <f>0</f>
        <v>0</v>
      </c>
      <c r="G46" s="144">
        <f>0</f>
        <v>0</v>
      </c>
    </row>
    <row r="47" spans="1:7" x14ac:dyDescent="0.25">
      <c r="A47" s="183" t="s">
        <v>190</v>
      </c>
      <c r="B47" s="95">
        <f>559.72</f>
        <v>559.72</v>
      </c>
      <c r="C47" s="95">
        <f>499.95</f>
        <v>499.95</v>
      </c>
      <c r="D47" s="95">
        <f>42.4</f>
        <v>42.4</v>
      </c>
      <c r="E47" s="95">
        <f>996.36</f>
        <v>996.36</v>
      </c>
      <c r="F47" s="95">
        <f>427.89</f>
        <v>427.89</v>
      </c>
      <c r="G47" s="144">
        <f>275.2</f>
        <v>275.2</v>
      </c>
    </row>
    <row r="48" spans="1:7" x14ac:dyDescent="0.25">
      <c r="A48" s="183" t="s">
        <v>251</v>
      </c>
      <c r="B48" s="95">
        <f>2877.5</f>
        <v>2877.5</v>
      </c>
      <c r="C48" s="95">
        <f>1686.3</f>
        <v>1686.3</v>
      </c>
      <c r="D48" s="95">
        <f>0</f>
        <v>0</v>
      </c>
      <c r="E48" s="95">
        <f>340</f>
        <v>340</v>
      </c>
      <c r="F48" s="95">
        <f>0</f>
        <v>0</v>
      </c>
      <c r="G48" s="144">
        <f>0</f>
        <v>0</v>
      </c>
    </row>
    <row r="49" spans="1:7" x14ac:dyDescent="0.25">
      <c r="A49" s="183" t="s">
        <v>250</v>
      </c>
      <c r="B49" s="95">
        <f>175</f>
        <v>175</v>
      </c>
      <c r="C49" s="95">
        <f>0</f>
        <v>0</v>
      </c>
      <c r="D49" s="95">
        <f>0</f>
        <v>0</v>
      </c>
      <c r="E49" s="95">
        <f>0</f>
        <v>0</v>
      </c>
      <c r="F49" s="95">
        <f>0</f>
        <v>0</v>
      </c>
      <c r="G49" s="144">
        <f>0</f>
        <v>0</v>
      </c>
    </row>
    <row r="50" spans="1:7" x14ac:dyDescent="0.25">
      <c r="A50" s="183" t="s">
        <v>249</v>
      </c>
      <c r="B50" s="95">
        <f>0</f>
        <v>0</v>
      </c>
      <c r="C50" s="95">
        <f>0</f>
        <v>0</v>
      </c>
      <c r="D50" s="95">
        <f>0</f>
        <v>0</v>
      </c>
      <c r="E50" s="95">
        <f>230</f>
        <v>230</v>
      </c>
      <c r="F50" s="95">
        <f>230</f>
        <v>230</v>
      </c>
      <c r="G50" s="144">
        <f>0</f>
        <v>0</v>
      </c>
    </row>
    <row r="51" spans="1:7" x14ac:dyDescent="0.25">
      <c r="A51" s="183" t="s">
        <v>248</v>
      </c>
      <c r="B51" s="95">
        <f>100</f>
        <v>100</v>
      </c>
      <c r="C51" s="95">
        <f>86.88</f>
        <v>86.88</v>
      </c>
      <c r="D51" s="95">
        <f>97.68</f>
        <v>97.68</v>
      </c>
      <c r="E51" s="95">
        <f>0</f>
        <v>0</v>
      </c>
      <c r="F51" s="95">
        <f>0</f>
        <v>0</v>
      </c>
      <c r="G51" s="144">
        <f>0</f>
        <v>0</v>
      </c>
    </row>
    <row r="52" spans="1:7" x14ac:dyDescent="0.25">
      <c r="A52" s="183" t="s">
        <v>189</v>
      </c>
      <c r="B52" s="95">
        <f>2430</f>
        <v>2430</v>
      </c>
      <c r="C52" s="95">
        <f>2270.77</f>
        <v>2270.77</v>
      </c>
      <c r="D52" s="95">
        <f>1500</f>
        <v>1500</v>
      </c>
      <c r="E52" s="95">
        <f>1406.32</f>
        <v>1406.32</v>
      </c>
      <c r="F52" s="95">
        <f>1721.75</f>
        <v>1721.75</v>
      </c>
      <c r="G52" s="144">
        <f>654.4</f>
        <v>654.4</v>
      </c>
    </row>
    <row r="53" spans="1:7" x14ac:dyDescent="0.25">
      <c r="A53" s="183" t="s">
        <v>188</v>
      </c>
      <c r="B53" s="95">
        <f>0</f>
        <v>0</v>
      </c>
      <c r="C53" s="95">
        <f>250</f>
        <v>250</v>
      </c>
      <c r="D53" s="95">
        <f>0</f>
        <v>0</v>
      </c>
      <c r="E53" s="95">
        <f>250</f>
        <v>250</v>
      </c>
      <c r="F53" s="95">
        <f>250</f>
        <v>250</v>
      </c>
      <c r="G53" s="144">
        <f>250</f>
        <v>250</v>
      </c>
    </row>
    <row r="54" spans="1:7" x14ac:dyDescent="0.25">
      <c r="A54" s="183" t="s">
        <v>247</v>
      </c>
      <c r="B54" s="95">
        <f>517.5</f>
        <v>517.5</v>
      </c>
      <c r="C54" s="95">
        <f>549</f>
        <v>549</v>
      </c>
      <c r="D54" s="95">
        <f>0</f>
        <v>0</v>
      </c>
      <c r="E54" s="95">
        <f>0</f>
        <v>0</v>
      </c>
      <c r="F54" s="95">
        <f>0</f>
        <v>0</v>
      </c>
      <c r="G54" s="144">
        <f>0</f>
        <v>0</v>
      </c>
    </row>
    <row r="55" spans="1:7" x14ac:dyDescent="0.25">
      <c r="A55" s="183" t="s">
        <v>246</v>
      </c>
      <c r="B55" s="95">
        <f>0</f>
        <v>0</v>
      </c>
      <c r="C55" s="95">
        <f>0</f>
        <v>0</v>
      </c>
      <c r="D55" s="95">
        <f>0</f>
        <v>0</v>
      </c>
      <c r="E55" s="95">
        <f>0</f>
        <v>0</v>
      </c>
      <c r="F55" s="95">
        <f>1114.15</f>
        <v>1114.1500000000001</v>
      </c>
      <c r="G55" s="144">
        <f>0</f>
        <v>0</v>
      </c>
    </row>
    <row r="56" spans="1:7" x14ac:dyDescent="0.25">
      <c r="A56" s="183" t="s">
        <v>245</v>
      </c>
      <c r="B56" s="95">
        <f>0</f>
        <v>0</v>
      </c>
      <c r="C56" s="95">
        <f>0</f>
        <v>0</v>
      </c>
      <c r="D56" s="95">
        <f>0</f>
        <v>0</v>
      </c>
      <c r="E56" s="95">
        <f>733.6</f>
        <v>733.6</v>
      </c>
      <c r="F56" s="95">
        <f>0</f>
        <v>0</v>
      </c>
      <c r="G56" s="144">
        <f>0</f>
        <v>0</v>
      </c>
    </row>
    <row r="57" spans="1:7" x14ac:dyDescent="0.25">
      <c r="A57" s="183" t="s">
        <v>244</v>
      </c>
      <c r="B57" s="95">
        <f>0</f>
        <v>0</v>
      </c>
      <c r="C57" s="95">
        <f>0</f>
        <v>0</v>
      </c>
      <c r="D57" s="95">
        <f>0</f>
        <v>0</v>
      </c>
      <c r="E57" s="95">
        <f>0</f>
        <v>0</v>
      </c>
      <c r="F57" s="95">
        <f>12.95</f>
        <v>12.95</v>
      </c>
      <c r="G57" s="144">
        <f>0</f>
        <v>0</v>
      </c>
    </row>
    <row r="58" spans="1:7" x14ac:dyDescent="0.25">
      <c r="A58" s="183" t="s">
        <v>187</v>
      </c>
      <c r="B58" s="95">
        <f>160</f>
        <v>160</v>
      </c>
      <c r="C58" s="95">
        <f>215</f>
        <v>215</v>
      </c>
      <c r="D58" s="95">
        <f>215</f>
        <v>215</v>
      </c>
      <c r="E58" s="95">
        <f>389.43</f>
        <v>389.43</v>
      </c>
      <c r="F58" s="95">
        <f>609.24</f>
        <v>609.24</v>
      </c>
      <c r="G58" s="144">
        <f>190.34</f>
        <v>190.34</v>
      </c>
    </row>
    <row r="59" spans="1:7" x14ac:dyDescent="0.25">
      <c r="A59" s="183" t="s">
        <v>186</v>
      </c>
      <c r="B59" s="95">
        <f>0</f>
        <v>0</v>
      </c>
      <c r="C59" s="95">
        <f>0</f>
        <v>0</v>
      </c>
      <c r="D59" s="95">
        <f>89.8</f>
        <v>89.8</v>
      </c>
      <c r="E59" s="95">
        <f>0</f>
        <v>0</v>
      </c>
      <c r="F59" s="95">
        <f>69.48</f>
        <v>69.48</v>
      </c>
      <c r="G59" s="144">
        <f>101.92</f>
        <v>101.92</v>
      </c>
    </row>
    <row r="60" spans="1:7" x14ac:dyDescent="0.25">
      <c r="A60" s="183" t="s">
        <v>185</v>
      </c>
      <c r="B60" s="95">
        <f>754.01</f>
        <v>754.01</v>
      </c>
      <c r="C60" s="95">
        <f>749.48</f>
        <v>749.48</v>
      </c>
      <c r="D60" s="95">
        <f>386.44</f>
        <v>386.44</v>
      </c>
      <c r="E60" s="95">
        <f>0</f>
        <v>0</v>
      </c>
      <c r="F60" s="95">
        <f>0</f>
        <v>0</v>
      </c>
      <c r="G60" s="144">
        <f>719.17</f>
        <v>719.17</v>
      </c>
    </row>
    <row r="61" spans="1:7" x14ac:dyDescent="0.25">
      <c r="A61" s="183" t="s">
        <v>184</v>
      </c>
      <c r="B61" s="95">
        <f>0</f>
        <v>0</v>
      </c>
      <c r="C61" s="95">
        <f>323.43</f>
        <v>323.43</v>
      </c>
      <c r="D61" s="95">
        <f>189.01</f>
        <v>189.01</v>
      </c>
      <c r="E61" s="95">
        <f>209.88</f>
        <v>209.88</v>
      </c>
      <c r="F61" s="95">
        <f>155.35</f>
        <v>155.35</v>
      </c>
      <c r="G61" s="144">
        <f>47.94</f>
        <v>47.94</v>
      </c>
    </row>
    <row r="62" spans="1:7" x14ac:dyDescent="0.25">
      <c r="A62" s="183" t="s">
        <v>183</v>
      </c>
      <c r="B62" s="95">
        <f>0</f>
        <v>0</v>
      </c>
      <c r="C62" s="95">
        <f>0</f>
        <v>0</v>
      </c>
      <c r="D62" s="95">
        <f>0</f>
        <v>0</v>
      </c>
      <c r="E62" s="95">
        <f>507.38</f>
        <v>507.38</v>
      </c>
      <c r="F62" s="95">
        <f>0</f>
        <v>0</v>
      </c>
      <c r="G62" s="144">
        <f>0</f>
        <v>0</v>
      </c>
    </row>
    <row r="63" spans="1:7" x14ac:dyDescent="0.25">
      <c r="A63" s="183" t="s">
        <v>182</v>
      </c>
      <c r="B63" s="95">
        <f>1396.95</f>
        <v>1396.95</v>
      </c>
      <c r="C63" s="95">
        <f>909.5</f>
        <v>909.5</v>
      </c>
      <c r="D63" s="95">
        <f>0</f>
        <v>0</v>
      </c>
      <c r="E63" s="95">
        <f>1310.93</f>
        <v>1310.93</v>
      </c>
      <c r="F63" s="95">
        <f>99</f>
        <v>99</v>
      </c>
      <c r="G63" s="144">
        <f>354.9</f>
        <v>354.9</v>
      </c>
    </row>
    <row r="64" spans="1:7" x14ac:dyDescent="0.25">
      <c r="A64" s="183" t="s">
        <v>181</v>
      </c>
      <c r="B64" s="95">
        <f>1617</f>
        <v>1617</v>
      </c>
      <c r="C64" s="95">
        <f>1911.8</f>
        <v>1911.8</v>
      </c>
      <c r="D64" s="95">
        <f>871.75</f>
        <v>871.75</v>
      </c>
      <c r="E64" s="95">
        <f>1260</f>
        <v>1260</v>
      </c>
      <c r="F64" s="95">
        <f>406</f>
        <v>406</v>
      </c>
      <c r="G64" s="144">
        <f>848.2</f>
        <v>848.2</v>
      </c>
    </row>
    <row r="65" spans="1:7" x14ac:dyDescent="0.25">
      <c r="A65" s="183" t="s">
        <v>180</v>
      </c>
      <c r="B65" s="95">
        <f>386.4</f>
        <v>386.4</v>
      </c>
      <c r="C65" s="95">
        <f>442.8</f>
        <v>442.8</v>
      </c>
      <c r="D65" s="95">
        <f>927.5</f>
        <v>927.5</v>
      </c>
      <c r="E65" s="95">
        <f>2002.54</f>
        <v>2002.54</v>
      </c>
      <c r="F65" s="95">
        <f>0</f>
        <v>0</v>
      </c>
      <c r="G65" s="144">
        <f>384.9</f>
        <v>384.9</v>
      </c>
    </row>
    <row r="66" spans="1:7" x14ac:dyDescent="0.25">
      <c r="A66" s="183" t="s">
        <v>179</v>
      </c>
      <c r="B66" s="95">
        <f>1522</f>
        <v>1522</v>
      </c>
      <c r="C66" s="95">
        <f>1309.4</f>
        <v>1309.4000000000001</v>
      </c>
      <c r="D66" s="95">
        <f>760</f>
        <v>760</v>
      </c>
      <c r="E66" s="95">
        <f>936.97</f>
        <v>936.97</v>
      </c>
      <c r="F66" s="95">
        <f>134.2</f>
        <v>134.19999999999999</v>
      </c>
      <c r="G66" s="144">
        <f>406.15</f>
        <v>406.15</v>
      </c>
    </row>
    <row r="67" spans="1:7" x14ac:dyDescent="0.25">
      <c r="A67" s="183" t="s">
        <v>178</v>
      </c>
      <c r="B67" s="95">
        <f>2250.75</f>
        <v>2250.75</v>
      </c>
      <c r="C67" s="95">
        <f>2299.8</f>
        <v>2299.8000000000002</v>
      </c>
      <c r="D67" s="95">
        <f>558</f>
        <v>558</v>
      </c>
      <c r="E67" s="95">
        <f>551.28</f>
        <v>551.28</v>
      </c>
      <c r="F67" s="95">
        <f>0</f>
        <v>0</v>
      </c>
      <c r="G67" s="144">
        <f>450</f>
        <v>450</v>
      </c>
    </row>
    <row r="68" spans="1:7" x14ac:dyDescent="0.25">
      <c r="A68" s="183" t="s">
        <v>177</v>
      </c>
      <c r="B68" s="95">
        <f>1641.6</f>
        <v>1641.6</v>
      </c>
      <c r="C68" s="95">
        <f>633.9</f>
        <v>633.9</v>
      </c>
      <c r="D68" s="95">
        <f>652.65</f>
        <v>652.65</v>
      </c>
      <c r="E68" s="95">
        <f>2100</f>
        <v>2100</v>
      </c>
      <c r="F68" s="95">
        <f>90</f>
        <v>90</v>
      </c>
      <c r="G68" s="144">
        <f>120</f>
        <v>120</v>
      </c>
    </row>
    <row r="69" spans="1:7" x14ac:dyDescent="0.25">
      <c r="A69" s="183" t="s">
        <v>243</v>
      </c>
      <c r="B69" s="95">
        <f>0</f>
        <v>0</v>
      </c>
      <c r="C69" s="95">
        <f>700.35</f>
        <v>700.35</v>
      </c>
      <c r="D69" s="95">
        <f>0</f>
        <v>0</v>
      </c>
      <c r="E69" s="95">
        <f>0</f>
        <v>0</v>
      </c>
      <c r="F69" s="95">
        <f>1000</f>
        <v>1000</v>
      </c>
      <c r="G69" s="144">
        <f>0</f>
        <v>0</v>
      </c>
    </row>
    <row r="70" spans="1:7" x14ac:dyDescent="0.25">
      <c r="A70" s="183" t="s">
        <v>176</v>
      </c>
      <c r="B70" s="94">
        <f t="shared" ref="B70:G70" si="4">(((((((B62)+(B63))+(B64))+(B65))+(B66))+(B67))+(B68))+(B69)</f>
        <v>8814.7000000000007</v>
      </c>
      <c r="C70" s="94">
        <f t="shared" si="4"/>
        <v>8207.5499999999993</v>
      </c>
      <c r="D70" s="94">
        <f t="shared" si="4"/>
        <v>3769.9</v>
      </c>
      <c r="E70" s="94">
        <f t="shared" si="4"/>
        <v>8669.1</v>
      </c>
      <c r="F70" s="94">
        <f t="shared" si="4"/>
        <v>1729.2</v>
      </c>
      <c r="G70" s="145">
        <f t="shared" si="4"/>
        <v>2564.15</v>
      </c>
    </row>
    <row r="71" spans="1:7" x14ac:dyDescent="0.25">
      <c r="A71" s="183" t="s">
        <v>242</v>
      </c>
      <c r="B71" s="95">
        <f>0</f>
        <v>0</v>
      </c>
      <c r="C71" s="95">
        <f>0</f>
        <v>0</v>
      </c>
      <c r="D71" s="95">
        <f>3025</f>
        <v>3025</v>
      </c>
      <c r="E71" s="95">
        <f>0</f>
        <v>0</v>
      </c>
      <c r="F71" s="95">
        <f>0</f>
        <v>0</v>
      </c>
      <c r="G71" s="144">
        <f>0</f>
        <v>0</v>
      </c>
    </row>
    <row r="72" spans="1:7" x14ac:dyDescent="0.25">
      <c r="A72" s="183" t="s">
        <v>175</v>
      </c>
      <c r="B72" s="95">
        <f>2212.69</f>
        <v>2212.69</v>
      </c>
      <c r="C72" s="95">
        <f>2330.9</f>
        <v>2330.9</v>
      </c>
      <c r="D72" s="95">
        <f>2467.62</f>
        <v>2467.62</v>
      </c>
      <c r="E72" s="95">
        <f>3195.91</f>
        <v>3195.91</v>
      </c>
      <c r="F72" s="95">
        <f>6333.08</f>
        <v>6333.08</v>
      </c>
      <c r="G72" s="144">
        <f>4710.63</f>
        <v>4710.63</v>
      </c>
    </row>
    <row r="73" spans="1:7" x14ac:dyDescent="0.25">
      <c r="A73" s="183" t="s">
        <v>241</v>
      </c>
      <c r="B73" s="95">
        <f>0</f>
        <v>0</v>
      </c>
      <c r="C73" s="95">
        <f>95.64</f>
        <v>95.64</v>
      </c>
      <c r="D73" s="95">
        <f>0</f>
        <v>0</v>
      </c>
      <c r="E73" s="95">
        <f>0</f>
        <v>0</v>
      </c>
      <c r="F73" s="95">
        <f>0</f>
        <v>0</v>
      </c>
      <c r="G73" s="144">
        <f>0</f>
        <v>0</v>
      </c>
    </row>
    <row r="74" spans="1:7" x14ac:dyDescent="0.25">
      <c r="A74" s="183" t="s">
        <v>240</v>
      </c>
      <c r="B74" s="95">
        <f>206.06</f>
        <v>206.06</v>
      </c>
      <c r="C74" s="95">
        <f>151.92</f>
        <v>151.91999999999999</v>
      </c>
      <c r="D74" s="95">
        <f>254.39</f>
        <v>254.39</v>
      </c>
      <c r="E74" s="95">
        <f>0</f>
        <v>0</v>
      </c>
      <c r="F74" s="95">
        <f>0</f>
        <v>0</v>
      </c>
      <c r="G74" s="144">
        <f>0</f>
        <v>0</v>
      </c>
    </row>
    <row r="75" spans="1:7" x14ac:dyDescent="0.25">
      <c r="A75" s="183" t="s">
        <v>239</v>
      </c>
      <c r="B75" s="95">
        <f>0</f>
        <v>0</v>
      </c>
      <c r="C75" s="95">
        <f>-162.65</f>
        <v>-162.65</v>
      </c>
      <c r="D75" s="95">
        <f>0</f>
        <v>0</v>
      </c>
      <c r="E75" s="95">
        <f>0</f>
        <v>0</v>
      </c>
      <c r="F75" s="95">
        <f>0</f>
        <v>0</v>
      </c>
      <c r="G75" s="144">
        <f>0</f>
        <v>0</v>
      </c>
    </row>
    <row r="76" spans="1:7" x14ac:dyDescent="0.25">
      <c r="A76" s="183" t="s">
        <v>174</v>
      </c>
      <c r="B76" s="95">
        <f>255</f>
        <v>255</v>
      </c>
      <c r="C76" s="95">
        <f>335</f>
        <v>335</v>
      </c>
      <c r="D76" s="95">
        <f>335</f>
        <v>335</v>
      </c>
      <c r="E76" s="95">
        <f>335</f>
        <v>335</v>
      </c>
      <c r="F76" s="95">
        <f>335</f>
        <v>335</v>
      </c>
      <c r="G76" s="144">
        <f>335</f>
        <v>335</v>
      </c>
    </row>
    <row r="77" spans="1:7" x14ac:dyDescent="0.25">
      <c r="A77" s="183" t="s">
        <v>238</v>
      </c>
      <c r="B77" s="95">
        <f>0</f>
        <v>0</v>
      </c>
      <c r="C77" s="95">
        <f>0</f>
        <v>0</v>
      </c>
      <c r="D77" s="95">
        <f>3850</f>
        <v>3850</v>
      </c>
      <c r="E77" s="95">
        <f>0</f>
        <v>0</v>
      </c>
      <c r="F77" s="95">
        <f>0</f>
        <v>0</v>
      </c>
      <c r="G77" s="144">
        <f>0</f>
        <v>0</v>
      </c>
    </row>
    <row r="78" spans="1:7" x14ac:dyDescent="0.25">
      <c r="A78" s="183" t="s">
        <v>173</v>
      </c>
      <c r="B78" s="95">
        <f>497.5</f>
        <v>497.5</v>
      </c>
      <c r="C78" s="95">
        <f>290.57</f>
        <v>290.57</v>
      </c>
      <c r="D78" s="95">
        <f>101.36</f>
        <v>101.36</v>
      </c>
      <c r="E78" s="95">
        <f>0</f>
        <v>0</v>
      </c>
      <c r="F78" s="95">
        <f>0</f>
        <v>0</v>
      </c>
      <c r="G78" s="144">
        <f>33.57</f>
        <v>33.57</v>
      </c>
    </row>
    <row r="79" spans="1:7" x14ac:dyDescent="0.25">
      <c r="A79" s="183" t="s">
        <v>237</v>
      </c>
      <c r="B79" s="95">
        <f>0</f>
        <v>0</v>
      </c>
      <c r="C79" s="95">
        <f>0</f>
        <v>0</v>
      </c>
      <c r="D79" s="95">
        <f>195</f>
        <v>195</v>
      </c>
      <c r="E79" s="95">
        <f>0</f>
        <v>0</v>
      </c>
      <c r="F79" s="95">
        <f>0</f>
        <v>0</v>
      </c>
      <c r="G79" s="144">
        <f>0</f>
        <v>0</v>
      </c>
    </row>
    <row r="80" spans="1:7" x14ac:dyDescent="0.25">
      <c r="A80" s="183" t="s">
        <v>172</v>
      </c>
      <c r="B80" s="95">
        <f>0</f>
        <v>0</v>
      </c>
      <c r="C80" s="95">
        <f>0</f>
        <v>0</v>
      </c>
      <c r="D80" s="95">
        <f>0</f>
        <v>0</v>
      </c>
      <c r="E80" s="95">
        <f>0</f>
        <v>0</v>
      </c>
      <c r="F80" s="95">
        <f>0</f>
        <v>0</v>
      </c>
      <c r="G80" s="144">
        <f>2214.98</f>
        <v>2214.98</v>
      </c>
    </row>
    <row r="81" spans="1:7" x14ac:dyDescent="0.25">
      <c r="A81" s="183" t="s">
        <v>236</v>
      </c>
      <c r="B81" s="95">
        <f>0</f>
        <v>0</v>
      </c>
      <c r="C81" s="95">
        <f>0</f>
        <v>0</v>
      </c>
      <c r="D81" s="95">
        <f>1998</f>
        <v>1998</v>
      </c>
      <c r="E81" s="95">
        <f>1249</f>
        <v>1249</v>
      </c>
      <c r="F81" s="95">
        <f>0</f>
        <v>0</v>
      </c>
      <c r="G81" s="144">
        <f>0</f>
        <v>0</v>
      </c>
    </row>
    <row r="82" spans="1:7" x14ac:dyDescent="0.25">
      <c r="A82" s="183" t="s">
        <v>235</v>
      </c>
      <c r="B82" s="95">
        <f>227</f>
        <v>227</v>
      </c>
      <c r="C82" s="95">
        <f>184.27</f>
        <v>184.27</v>
      </c>
      <c r="D82" s="95">
        <f>0</f>
        <v>0</v>
      </c>
      <c r="E82" s="95">
        <f>0</f>
        <v>0</v>
      </c>
      <c r="F82" s="95">
        <f>0</f>
        <v>0</v>
      </c>
      <c r="G82" s="144">
        <f>0</f>
        <v>0</v>
      </c>
    </row>
    <row r="83" spans="1:7" x14ac:dyDescent="0.25">
      <c r="A83" s="183" t="s">
        <v>234</v>
      </c>
      <c r="B83" s="95">
        <f>6913.18</f>
        <v>6913.18</v>
      </c>
      <c r="C83" s="95">
        <f>0</f>
        <v>0</v>
      </c>
      <c r="D83" s="95">
        <f>0</f>
        <v>0</v>
      </c>
      <c r="E83" s="95">
        <f>0</f>
        <v>0</v>
      </c>
      <c r="F83" s="95">
        <f>0</f>
        <v>0</v>
      </c>
      <c r="G83" s="144">
        <f>0</f>
        <v>0</v>
      </c>
    </row>
    <row r="84" spans="1:7" x14ac:dyDescent="0.25">
      <c r="A84" s="183" t="s">
        <v>233</v>
      </c>
      <c r="B84" s="95">
        <f>64.6</f>
        <v>64.599999999999994</v>
      </c>
      <c r="C84" s="95">
        <f>81.07</f>
        <v>81.069999999999993</v>
      </c>
      <c r="D84" s="95">
        <f>0</f>
        <v>0</v>
      </c>
      <c r="E84" s="95">
        <f>0</f>
        <v>0</v>
      </c>
      <c r="F84" s="95">
        <f>18.87</f>
        <v>18.87</v>
      </c>
      <c r="G84" s="144">
        <f>0</f>
        <v>0</v>
      </c>
    </row>
    <row r="85" spans="1:7" x14ac:dyDescent="0.25">
      <c r="A85" s="183" t="s">
        <v>171</v>
      </c>
      <c r="B85" s="95">
        <f>0</f>
        <v>0</v>
      </c>
      <c r="C85" s="95">
        <f>0</f>
        <v>0</v>
      </c>
      <c r="D85" s="95">
        <f>0</f>
        <v>0</v>
      </c>
      <c r="E85" s="95">
        <f>0</f>
        <v>0</v>
      </c>
      <c r="F85" s="95">
        <f>0</f>
        <v>0</v>
      </c>
      <c r="G85" s="144">
        <f>10.63</f>
        <v>10.63</v>
      </c>
    </row>
    <row r="86" spans="1:7" x14ac:dyDescent="0.25">
      <c r="A86" s="183" t="s">
        <v>232</v>
      </c>
      <c r="B86" s="95">
        <f>1321.99</f>
        <v>1321.99</v>
      </c>
      <c r="C86" s="95">
        <f>1193.22</f>
        <v>1193.22</v>
      </c>
      <c r="D86" s="95">
        <f>153.93</f>
        <v>153.93</v>
      </c>
      <c r="E86" s="95">
        <f>1000</f>
        <v>1000</v>
      </c>
      <c r="F86" s="95">
        <f>1999.85</f>
        <v>1999.85</v>
      </c>
      <c r="G86" s="144">
        <f>0</f>
        <v>0</v>
      </c>
    </row>
    <row r="87" spans="1:7" x14ac:dyDescent="0.25">
      <c r="A87" s="183" t="s">
        <v>231</v>
      </c>
      <c r="B87" s="95">
        <f>256.5</f>
        <v>256.5</v>
      </c>
      <c r="C87" s="95">
        <f>242.25</f>
        <v>242.25</v>
      </c>
      <c r="D87" s="95">
        <f>249.6</f>
        <v>249.6</v>
      </c>
      <c r="E87" s="95">
        <f>0</f>
        <v>0</v>
      </c>
      <c r="F87" s="95">
        <f>0</f>
        <v>0</v>
      </c>
      <c r="G87" s="144">
        <f>0</f>
        <v>0</v>
      </c>
    </row>
    <row r="88" spans="1:7" x14ac:dyDescent="0.25">
      <c r="A88" s="183" t="s">
        <v>230</v>
      </c>
      <c r="B88" s="95">
        <f>150</f>
        <v>150</v>
      </c>
      <c r="C88" s="95">
        <f>0</f>
        <v>0</v>
      </c>
      <c r="D88" s="95">
        <f>0</f>
        <v>0</v>
      </c>
      <c r="E88" s="95">
        <f>0</f>
        <v>0</v>
      </c>
      <c r="F88" s="95">
        <f>0</f>
        <v>0</v>
      </c>
      <c r="G88" s="144">
        <f>0</f>
        <v>0</v>
      </c>
    </row>
    <row r="89" spans="1:7" x14ac:dyDescent="0.25">
      <c r="A89" s="183" t="s">
        <v>170</v>
      </c>
      <c r="B89" s="95">
        <f>0</f>
        <v>0</v>
      </c>
      <c r="C89" s="95">
        <f>0</f>
        <v>0</v>
      </c>
      <c r="D89" s="95">
        <f>0</f>
        <v>0</v>
      </c>
      <c r="E89" s="95">
        <f>0</f>
        <v>0</v>
      </c>
      <c r="F89" s="95">
        <f>0</f>
        <v>0</v>
      </c>
      <c r="G89" s="144">
        <f>502.7</f>
        <v>502.7</v>
      </c>
    </row>
    <row r="90" spans="1:7" x14ac:dyDescent="0.25">
      <c r="A90" s="183" t="s">
        <v>169</v>
      </c>
      <c r="B90" s="95">
        <f>160</f>
        <v>160</v>
      </c>
      <c r="C90" s="95">
        <f>200</f>
        <v>200</v>
      </c>
      <c r="D90" s="95">
        <f>120</f>
        <v>120</v>
      </c>
      <c r="E90" s="95">
        <f>219.9</f>
        <v>219.9</v>
      </c>
      <c r="F90" s="95">
        <f>137.5</f>
        <v>137.5</v>
      </c>
      <c r="G90" s="144">
        <f>9.5</f>
        <v>9.5</v>
      </c>
    </row>
    <row r="91" spans="1:7" x14ac:dyDescent="0.25">
      <c r="A91" s="183" t="s">
        <v>168</v>
      </c>
      <c r="B91" s="95">
        <f>75.44</f>
        <v>75.44</v>
      </c>
      <c r="C91" s="95">
        <f>92</f>
        <v>92</v>
      </c>
      <c r="D91" s="95">
        <f>60.98</f>
        <v>60.98</v>
      </c>
      <c r="E91" s="95">
        <f>31.19</f>
        <v>31.19</v>
      </c>
      <c r="F91" s="95">
        <f>115.07</f>
        <v>115.07</v>
      </c>
      <c r="G91" s="144">
        <f>117.74</f>
        <v>117.74</v>
      </c>
    </row>
    <row r="92" spans="1:7" x14ac:dyDescent="0.25">
      <c r="A92" s="183" t="s">
        <v>229</v>
      </c>
      <c r="B92" s="95">
        <f>549.75</f>
        <v>549.75</v>
      </c>
      <c r="C92" s="95">
        <f>549.75</f>
        <v>549.75</v>
      </c>
      <c r="D92" s="95">
        <f>549.75</f>
        <v>549.75</v>
      </c>
      <c r="E92" s="95">
        <f>346.35</f>
        <v>346.35</v>
      </c>
      <c r="F92" s="95">
        <f>0</f>
        <v>0</v>
      </c>
      <c r="G92" s="144">
        <f>0</f>
        <v>0</v>
      </c>
    </row>
    <row r="93" spans="1:7" x14ac:dyDescent="0.25">
      <c r="A93" s="183" t="s">
        <v>228</v>
      </c>
      <c r="B93" s="95">
        <f>5185</f>
        <v>5185</v>
      </c>
      <c r="C93" s="95">
        <f>0</f>
        <v>0</v>
      </c>
      <c r="D93" s="95">
        <f>0</f>
        <v>0</v>
      </c>
      <c r="E93" s="95">
        <f>0</f>
        <v>0</v>
      </c>
      <c r="F93" s="95">
        <f>0</f>
        <v>0</v>
      </c>
      <c r="G93" s="144">
        <f>0</f>
        <v>0</v>
      </c>
    </row>
    <row r="94" spans="1:7" x14ac:dyDescent="0.25">
      <c r="A94" s="183" t="s">
        <v>227</v>
      </c>
      <c r="B94" s="95">
        <f>642.51</f>
        <v>642.51</v>
      </c>
      <c r="C94" s="95">
        <f>138.6</f>
        <v>138.6</v>
      </c>
      <c r="D94" s="95">
        <f>0</f>
        <v>0</v>
      </c>
      <c r="E94" s="95">
        <f>0</f>
        <v>0</v>
      </c>
      <c r="F94" s="95">
        <f>0</f>
        <v>0</v>
      </c>
      <c r="G94" s="144">
        <f>0</f>
        <v>0</v>
      </c>
    </row>
    <row r="95" spans="1:7" x14ac:dyDescent="0.25">
      <c r="A95" s="183" t="s">
        <v>167</v>
      </c>
      <c r="B95" s="95">
        <f>0</f>
        <v>0</v>
      </c>
      <c r="C95" s="95">
        <f>569.25</f>
        <v>569.25</v>
      </c>
      <c r="D95" s="95">
        <f>569.25</f>
        <v>569.25</v>
      </c>
      <c r="E95" s="95">
        <f>458.15</f>
        <v>458.15</v>
      </c>
      <c r="F95" s="95">
        <f>392.7</f>
        <v>392.7</v>
      </c>
      <c r="G95" s="144">
        <f>395.34</f>
        <v>395.34</v>
      </c>
    </row>
    <row r="96" spans="1:7" x14ac:dyDescent="0.25">
      <c r="A96" s="183" t="s">
        <v>166</v>
      </c>
      <c r="B96" s="95">
        <f>0</f>
        <v>0</v>
      </c>
      <c r="C96" s="95">
        <f>0</f>
        <v>0</v>
      </c>
      <c r="D96" s="95">
        <f>0</f>
        <v>0</v>
      </c>
      <c r="E96" s="95">
        <f>0</f>
        <v>0</v>
      </c>
      <c r="F96" s="95">
        <f>458.04</f>
        <v>458.04</v>
      </c>
      <c r="G96" s="144">
        <f>460.68</f>
        <v>460.68</v>
      </c>
    </row>
    <row r="97" spans="1:7" x14ac:dyDescent="0.25">
      <c r="A97" s="183" t="s">
        <v>226</v>
      </c>
      <c r="B97" s="95">
        <f>0</f>
        <v>0</v>
      </c>
      <c r="C97" s="95">
        <f>0</f>
        <v>0</v>
      </c>
      <c r="D97" s="95">
        <f>370.7</f>
        <v>370.7</v>
      </c>
      <c r="E97" s="95">
        <f>496.22</f>
        <v>496.22</v>
      </c>
      <c r="F97" s="95">
        <f>0</f>
        <v>0</v>
      </c>
      <c r="G97" s="144">
        <f>0</f>
        <v>0</v>
      </c>
    </row>
    <row r="98" spans="1:7" x14ac:dyDescent="0.25">
      <c r="A98" s="183" t="s">
        <v>165</v>
      </c>
      <c r="B98" s="95">
        <f>5069.95</f>
        <v>5069.95</v>
      </c>
      <c r="C98" s="95">
        <f>4909.46</f>
        <v>4909.46</v>
      </c>
      <c r="D98" s="95">
        <f>1683.27</f>
        <v>1683.27</v>
      </c>
      <c r="E98" s="95">
        <f>4974.85</f>
        <v>4974.8500000000004</v>
      </c>
      <c r="F98" s="95">
        <f>6894.12</f>
        <v>6894.12</v>
      </c>
      <c r="G98" s="144">
        <f>6048.22</f>
        <v>6048.22</v>
      </c>
    </row>
    <row r="99" spans="1:7" x14ac:dyDescent="0.25">
      <c r="A99" s="183" t="s">
        <v>225</v>
      </c>
      <c r="B99" s="95">
        <f>181</f>
        <v>181</v>
      </c>
      <c r="C99" s="95">
        <f>0</f>
        <v>0</v>
      </c>
      <c r="D99" s="95">
        <f>0</f>
        <v>0</v>
      </c>
      <c r="E99" s="95">
        <f>0</f>
        <v>0</v>
      </c>
      <c r="F99" s="95">
        <f>0</f>
        <v>0</v>
      </c>
      <c r="G99" s="144">
        <f>0</f>
        <v>0</v>
      </c>
    </row>
    <row r="100" spans="1:7" x14ac:dyDescent="0.25">
      <c r="A100" s="183" t="s">
        <v>164</v>
      </c>
      <c r="B100" s="95">
        <f>540.27</f>
        <v>540.27</v>
      </c>
      <c r="C100" s="95">
        <f>703.45</f>
        <v>703.45</v>
      </c>
      <c r="D100" s="95">
        <f>0</f>
        <v>0</v>
      </c>
      <c r="E100" s="95">
        <f>35.42</f>
        <v>35.42</v>
      </c>
      <c r="F100" s="95">
        <f>460.18</f>
        <v>460.18</v>
      </c>
      <c r="G100" s="144">
        <f>280.78</f>
        <v>280.77999999999997</v>
      </c>
    </row>
    <row r="101" spans="1:7" x14ac:dyDescent="0.25">
      <c r="A101" s="183" t="s">
        <v>163</v>
      </c>
      <c r="B101" s="95">
        <f>107.92</f>
        <v>107.92</v>
      </c>
      <c r="C101" s="95">
        <f>237.41</f>
        <v>237.41</v>
      </c>
      <c r="D101" s="95">
        <f>153.77</f>
        <v>153.77000000000001</v>
      </c>
      <c r="E101" s="95">
        <f>1285.24</f>
        <v>1285.24</v>
      </c>
      <c r="F101" s="95">
        <f>1527.6</f>
        <v>1527.6</v>
      </c>
      <c r="G101" s="144">
        <f>756.36</f>
        <v>756.36</v>
      </c>
    </row>
    <row r="102" spans="1:7" x14ac:dyDescent="0.25">
      <c r="A102" s="183" t="s">
        <v>162</v>
      </c>
      <c r="B102" s="95">
        <f>0</f>
        <v>0</v>
      </c>
      <c r="C102" s="95">
        <f>217.34</f>
        <v>217.34</v>
      </c>
      <c r="D102" s="95">
        <f>203.91</f>
        <v>203.91</v>
      </c>
      <c r="E102" s="95">
        <f>300</f>
        <v>300</v>
      </c>
      <c r="F102" s="95">
        <f>300</f>
        <v>300</v>
      </c>
      <c r="G102" s="144">
        <f>390.35</f>
        <v>390.35</v>
      </c>
    </row>
    <row r="103" spans="1:7" x14ac:dyDescent="0.25">
      <c r="A103" s="183" t="s">
        <v>224</v>
      </c>
      <c r="B103" s="95">
        <f>0</f>
        <v>0</v>
      </c>
      <c r="C103" s="95">
        <f>64.73</f>
        <v>64.73</v>
      </c>
      <c r="D103" s="95">
        <f>0</f>
        <v>0</v>
      </c>
      <c r="E103" s="95">
        <f>0</f>
        <v>0</v>
      </c>
      <c r="F103" s="95">
        <f>0</f>
        <v>0</v>
      </c>
      <c r="G103" s="144">
        <f>0</f>
        <v>0</v>
      </c>
    </row>
    <row r="104" spans="1:7" x14ac:dyDescent="0.25">
      <c r="A104" s="183" t="s">
        <v>161</v>
      </c>
      <c r="B104" s="95">
        <f>0</f>
        <v>0</v>
      </c>
      <c r="C104" s="95">
        <f>0</f>
        <v>0</v>
      </c>
      <c r="D104" s="95">
        <f>0</f>
        <v>0</v>
      </c>
      <c r="E104" s="95">
        <f>0</f>
        <v>0</v>
      </c>
      <c r="F104" s="95">
        <f>311.01</f>
        <v>311.01</v>
      </c>
      <c r="G104" s="144">
        <f>455.85</f>
        <v>455.85</v>
      </c>
    </row>
    <row r="105" spans="1:7" x14ac:dyDescent="0.25">
      <c r="A105" s="183" t="s">
        <v>160</v>
      </c>
      <c r="B105" s="95">
        <f>100</f>
        <v>100</v>
      </c>
      <c r="C105" s="95">
        <f>100</f>
        <v>100</v>
      </c>
      <c r="D105" s="95">
        <f>140</f>
        <v>140</v>
      </c>
      <c r="E105" s="95">
        <f>140</f>
        <v>140</v>
      </c>
      <c r="F105" s="95">
        <f>100</f>
        <v>100</v>
      </c>
      <c r="G105" s="144">
        <f>140</f>
        <v>140</v>
      </c>
    </row>
    <row r="106" spans="1:7" x14ac:dyDescent="0.25">
      <c r="A106" s="183" t="s">
        <v>159</v>
      </c>
      <c r="B106" s="95">
        <f>2226.3</f>
        <v>2226.3000000000002</v>
      </c>
      <c r="C106" s="95">
        <f>4579.81</f>
        <v>4579.8100000000004</v>
      </c>
      <c r="D106" s="95">
        <f>3599.25</f>
        <v>3599.25</v>
      </c>
      <c r="E106" s="95">
        <f>6532.3</f>
        <v>6532.3</v>
      </c>
      <c r="F106" s="95">
        <f>6066.91</f>
        <v>6066.91</v>
      </c>
      <c r="G106" s="144">
        <f>3357.59</f>
        <v>3357.59</v>
      </c>
    </row>
    <row r="107" spans="1:7" x14ac:dyDescent="0.25">
      <c r="A107" s="183" t="s">
        <v>158</v>
      </c>
      <c r="B107" s="95">
        <f>497.41</f>
        <v>497.41</v>
      </c>
      <c r="C107" s="95">
        <f>0</f>
        <v>0</v>
      </c>
      <c r="D107" s="95">
        <f>100</f>
        <v>100</v>
      </c>
      <c r="E107" s="95">
        <f>100</f>
        <v>100</v>
      </c>
      <c r="F107" s="95">
        <f>120.61</f>
        <v>120.61</v>
      </c>
      <c r="G107" s="144">
        <f>66</f>
        <v>66</v>
      </c>
    </row>
    <row r="108" spans="1:7" x14ac:dyDescent="0.25">
      <c r="A108" s="183" t="s">
        <v>157</v>
      </c>
      <c r="B108" s="95">
        <f>690.31</f>
        <v>690.31</v>
      </c>
      <c r="C108" s="95">
        <f>991.27</f>
        <v>991.27</v>
      </c>
      <c r="D108" s="95">
        <f>414.01</f>
        <v>414.01</v>
      </c>
      <c r="E108" s="95">
        <f>588.14</f>
        <v>588.14</v>
      </c>
      <c r="F108" s="95">
        <f>2408</f>
        <v>2408</v>
      </c>
      <c r="G108" s="144">
        <f>100</f>
        <v>100</v>
      </c>
    </row>
    <row r="109" spans="1:7" x14ac:dyDescent="0.25">
      <c r="A109" s="183" t="s">
        <v>89</v>
      </c>
      <c r="B109" s="94">
        <f t="shared" ref="B109:G109" si="5">((((((((((((((((((((((((((((((((((((((((((((((((((((((((((((((B38)+(B39))+(B40))+(B41))+(B42))+(B43))+(B44))+(B45))+(B46))+(B47))+(B48))+(B49))+(B50))+(B51))+(B52))+(B53))+(B54))+(B55))+(B56))+(B57))+(B58))+(B59))+(B60))+(B61))+(B70))+(B71))+(B72))+(B73))+(B74))+(B75))+(B76))+(B77))+(B78))+(B79))+(B80))+(B81))+(B82))+(B83))+(B84))+(B85))+(B86))+(B87))+(B88))+(B89))+(B90))+(B91))+(B92))+(B93))+(B94))+(B95))+(B96))+(B97))+(B98))+(B99))+(B100))+(B101))+(B102))+(B103))+(B104))+(B105))+(B106))+(B107))+(B108)</f>
        <v>56297.49</v>
      </c>
      <c r="C109" s="94">
        <f t="shared" si="5"/>
        <v>37814.789999999994</v>
      </c>
      <c r="D109" s="94">
        <f t="shared" si="5"/>
        <v>33330.49</v>
      </c>
      <c r="E109" s="94">
        <f t="shared" si="5"/>
        <v>40577.53</v>
      </c>
      <c r="F109" s="94">
        <f t="shared" si="5"/>
        <v>40957.75</v>
      </c>
      <c r="G109" s="145">
        <f t="shared" si="5"/>
        <v>28571.909999999996</v>
      </c>
    </row>
    <row r="110" spans="1:7" x14ac:dyDescent="0.25">
      <c r="A110" s="183" t="s">
        <v>90</v>
      </c>
      <c r="B110" s="94">
        <f t="shared" ref="B110:G110" si="6">(B36)-(B109)</f>
        <v>-122.29000000000087</v>
      </c>
      <c r="C110" s="94">
        <f t="shared" si="6"/>
        <v>3242.7700000000041</v>
      </c>
      <c r="D110" s="94">
        <f t="shared" si="6"/>
        <v>10160.340000000004</v>
      </c>
      <c r="E110" s="94">
        <f t="shared" si="6"/>
        <v>-13044.609999999997</v>
      </c>
      <c r="F110" s="94">
        <f t="shared" si="6"/>
        <v>7154.6800000000076</v>
      </c>
      <c r="G110" s="145">
        <f t="shared" si="6"/>
        <v>20059.150000000009</v>
      </c>
    </row>
    <row r="111" spans="1:7" x14ac:dyDescent="0.25">
      <c r="A111" s="183" t="s">
        <v>91</v>
      </c>
      <c r="B111" s="92"/>
      <c r="C111" s="92"/>
      <c r="D111" s="92"/>
      <c r="E111" s="92"/>
      <c r="F111" s="92"/>
      <c r="G111" s="143"/>
    </row>
    <row r="112" spans="1:7" x14ac:dyDescent="0.25">
      <c r="A112" s="183" t="s">
        <v>92</v>
      </c>
      <c r="B112" s="95">
        <f>36.07</f>
        <v>36.07</v>
      </c>
      <c r="C112" s="95">
        <f>10.3</f>
        <v>10.3</v>
      </c>
      <c r="D112" s="95">
        <f>12.35</f>
        <v>12.35</v>
      </c>
      <c r="E112" s="95">
        <f>14.38</f>
        <v>14.38</v>
      </c>
      <c r="F112" s="95">
        <f>11.04</f>
        <v>11.04</v>
      </c>
      <c r="G112" s="144">
        <f>19.54</f>
        <v>19.54</v>
      </c>
    </row>
    <row r="113" spans="1:7" x14ac:dyDescent="0.25">
      <c r="A113" s="183" t="s">
        <v>93</v>
      </c>
      <c r="B113" s="95">
        <f>52.39</f>
        <v>52.39</v>
      </c>
      <c r="C113" s="95">
        <f>147.76</f>
        <v>147.76</v>
      </c>
      <c r="D113" s="95">
        <f>241.78</f>
        <v>241.78</v>
      </c>
      <c r="E113" s="95">
        <f>112.2</f>
        <v>112.2</v>
      </c>
      <c r="F113" s="95">
        <f>19.27</f>
        <v>19.27</v>
      </c>
      <c r="G113" s="144">
        <f>1.45</f>
        <v>1.45</v>
      </c>
    </row>
    <row r="114" spans="1:7" x14ac:dyDescent="0.25">
      <c r="A114" s="183" t="s">
        <v>94</v>
      </c>
      <c r="B114" s="94">
        <f t="shared" ref="B114:G114" si="7">(B112)+(B113)</f>
        <v>88.460000000000008</v>
      </c>
      <c r="C114" s="94">
        <f t="shared" si="7"/>
        <v>158.06</v>
      </c>
      <c r="D114" s="94">
        <f t="shared" si="7"/>
        <v>254.13</v>
      </c>
      <c r="E114" s="94">
        <f t="shared" si="7"/>
        <v>126.58</v>
      </c>
      <c r="F114" s="94">
        <f t="shared" si="7"/>
        <v>30.31</v>
      </c>
      <c r="G114" s="145">
        <f t="shared" si="7"/>
        <v>20.99</v>
      </c>
    </row>
    <row r="115" spans="1:7" x14ac:dyDescent="0.25">
      <c r="A115" s="183" t="s">
        <v>95</v>
      </c>
      <c r="B115" s="94">
        <f t="shared" ref="B115:G115" si="8">(B114)-(0)</f>
        <v>88.460000000000008</v>
      </c>
      <c r="C115" s="94">
        <f t="shared" si="8"/>
        <v>158.06</v>
      </c>
      <c r="D115" s="94">
        <f t="shared" si="8"/>
        <v>254.13</v>
      </c>
      <c r="E115" s="94">
        <f t="shared" si="8"/>
        <v>126.58</v>
      </c>
      <c r="F115" s="94">
        <f t="shared" si="8"/>
        <v>30.31</v>
      </c>
      <c r="G115" s="145">
        <f t="shared" si="8"/>
        <v>20.99</v>
      </c>
    </row>
    <row r="116" spans="1:7" x14ac:dyDescent="0.25">
      <c r="A116" s="183" t="s">
        <v>96</v>
      </c>
      <c r="B116" s="94">
        <f t="shared" ref="B116:G116" si="9">(B110)+(B115)</f>
        <v>-33.830000000000865</v>
      </c>
      <c r="C116" s="94">
        <f t="shared" si="9"/>
        <v>3400.830000000004</v>
      </c>
      <c r="D116" s="94">
        <f t="shared" si="9"/>
        <v>10414.470000000003</v>
      </c>
      <c r="E116" s="94">
        <f t="shared" si="9"/>
        <v>-12918.029999999997</v>
      </c>
      <c r="F116" s="94">
        <f t="shared" si="9"/>
        <v>7184.990000000008</v>
      </c>
      <c r="G116" s="145">
        <f t="shared" si="9"/>
        <v>20080.14000000001</v>
      </c>
    </row>
    <row r="119" spans="1:7" x14ac:dyDescent="0.25">
      <c r="A119" s="185" t="s">
        <v>319</v>
      </c>
      <c r="B119" s="186"/>
      <c r="C119" s="186"/>
      <c r="D119" s="186"/>
      <c r="E119" s="186"/>
      <c r="F119" s="186"/>
      <c r="G119" s="186"/>
    </row>
  </sheetData>
  <mergeCells count="4">
    <mergeCell ref="A119:G119"/>
    <mergeCell ref="A1:G1"/>
    <mergeCell ref="A2:G2"/>
    <mergeCell ref="A3:G3"/>
  </mergeCells>
  <printOptions horizontalCentered="1"/>
  <pageMargins left="0.7" right="0.7" top="0.25" bottom="0.25" header="0" footer="0"/>
  <pageSetup scale="85" fitToHeight="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5154A-C8DD-48CD-9749-A23713D346FC}">
  <dimension ref="A2:B15"/>
  <sheetViews>
    <sheetView workbookViewId="0">
      <selection activeCell="N49" sqref="N49"/>
    </sheetView>
  </sheetViews>
  <sheetFormatPr defaultRowHeight="15" x14ac:dyDescent="0.25"/>
  <cols>
    <col min="1" max="1" width="34.42578125" bestFit="1" customWidth="1"/>
    <col min="2" max="2" width="9" style="90" bestFit="1" customWidth="1"/>
  </cols>
  <sheetData>
    <row r="2" spans="1:2" x14ac:dyDescent="0.25">
      <c r="A2" t="str">
        <f>'P&amp;L Summary to Date'!A6</f>
        <v>Income</v>
      </c>
    </row>
    <row r="3" spans="1:2" x14ac:dyDescent="0.25">
      <c r="A3" t="str">
        <f>'P&amp;L Summary to Date'!A7</f>
        <v xml:space="preserve">   5th Grade Send Off (Income)</v>
      </c>
      <c r="B3" s="90">
        <v>200</v>
      </c>
    </row>
    <row r="4" spans="1:2" x14ac:dyDescent="0.25">
      <c r="A4" t="str">
        <f>'P&amp;L Summary to Date'!A8</f>
        <v xml:space="preserve">   Book Fair Sales</v>
      </c>
      <c r="B4" s="90">
        <v>3000</v>
      </c>
    </row>
    <row r="5" spans="1:2" x14ac:dyDescent="0.25">
      <c r="A5" t="str">
        <f>'P&amp;L Summary to Date'!A9</f>
        <v xml:space="preserve">   BottleDrop</v>
      </c>
      <c r="B5" s="90">
        <v>2200</v>
      </c>
    </row>
    <row r="6" spans="1:2" x14ac:dyDescent="0.25">
      <c r="A6" t="str">
        <f>'P&amp;L Summary to Date'!A10</f>
        <v xml:space="preserve">   Box Tops (Income)</v>
      </c>
      <c r="B6" s="90">
        <v>50</v>
      </c>
    </row>
    <row r="7" spans="1:2" x14ac:dyDescent="0.25">
      <c r="A7" t="str">
        <f>'P&amp;L Summary to Date'!A11</f>
        <v xml:space="preserve">   Fun Run (Income)</v>
      </c>
      <c r="B7" s="90">
        <v>25000</v>
      </c>
    </row>
    <row r="8" spans="1:2" x14ac:dyDescent="0.25">
      <c r="A8" t="str">
        <f>'P&amp;L Summary to Date'!A12</f>
        <v xml:space="preserve">   Member/Misc (Donations)</v>
      </c>
      <c r="B8" s="90">
        <v>2000</v>
      </c>
    </row>
    <row r="9" spans="1:2" x14ac:dyDescent="0.25">
      <c r="A9" t="str">
        <f>'P&amp;L Summary to Date'!A13</f>
        <v xml:space="preserve">   Music &amp; School Concert Fundraising</v>
      </c>
      <c r="B9" s="90">
        <v>200</v>
      </c>
    </row>
    <row r="10" spans="1:2" x14ac:dyDescent="0.25">
      <c r="A10" t="str">
        <f>'P&amp;L Summary to Date'!A14</f>
        <v xml:space="preserve">   Restaurant / Retail Fundraisers</v>
      </c>
      <c r="B10" s="90">
        <v>750</v>
      </c>
    </row>
    <row r="11" spans="1:2" x14ac:dyDescent="0.25">
      <c r="A11" t="str">
        <f>'P&amp;L Summary to Date'!A15</f>
        <v xml:space="preserve">   Rewards Programs (Donations)</v>
      </c>
      <c r="B11" s="90">
        <v>450</v>
      </c>
    </row>
    <row r="12" spans="1:2" x14ac:dyDescent="0.25">
      <c r="A12" t="str">
        <f>'P&amp;L Summary to Date'!A16</f>
        <v xml:space="preserve">   School Supplies (Income)</v>
      </c>
      <c r="B12" s="90">
        <v>7000</v>
      </c>
    </row>
    <row r="13" spans="1:2" x14ac:dyDescent="0.25">
      <c r="A13" t="s">
        <v>26</v>
      </c>
      <c r="B13" s="90">
        <v>500</v>
      </c>
    </row>
    <row r="14" spans="1:2" x14ac:dyDescent="0.25">
      <c r="A14" t="str">
        <f>'P&amp;L Summary to Date'!A17</f>
        <v xml:space="preserve">   Staff Appreciation Donations</v>
      </c>
      <c r="B14" s="90">
        <v>300</v>
      </c>
    </row>
    <row r="15" spans="1:2" x14ac:dyDescent="0.25">
      <c r="A15" t="str">
        <f>'P&amp;L Summary to Date'!A18</f>
        <v>Total Income</v>
      </c>
      <c r="B15" s="90">
        <f>'P&amp;L Summary to Date'!B18</f>
        <v>48631.060000000005</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38979-EDC0-4896-9C26-0C18929DF8DF}">
  <sheetPr>
    <pageSetUpPr fitToPage="1"/>
  </sheetPr>
  <dimension ref="A1:K44"/>
  <sheetViews>
    <sheetView tabSelected="1" workbookViewId="0">
      <selection activeCell="J28" sqref="J28"/>
    </sheetView>
  </sheetViews>
  <sheetFormatPr defaultRowHeight="15" x14ac:dyDescent="0.25"/>
  <cols>
    <col min="1" max="1" width="54.28515625" bestFit="1" customWidth="1"/>
    <col min="2" max="2" width="20.140625" bestFit="1" customWidth="1"/>
    <col min="6" max="6" width="20.140625" bestFit="1" customWidth="1"/>
    <col min="7" max="8" width="9" bestFit="1" customWidth="1"/>
    <col min="10" max="10" width="20.140625" bestFit="1" customWidth="1"/>
    <col min="11" max="11" width="13.5703125" style="90" customWidth="1"/>
  </cols>
  <sheetData>
    <row r="1" spans="1:9" x14ac:dyDescent="0.25">
      <c r="A1" s="184"/>
      <c r="B1" s="184"/>
      <c r="C1" s="184"/>
    </row>
    <row r="2" spans="1:9" x14ac:dyDescent="0.25">
      <c r="A2" s="184"/>
      <c r="B2" s="184"/>
      <c r="C2" s="184"/>
      <c r="I2" s="90"/>
    </row>
    <row r="3" spans="1:9" x14ac:dyDescent="0.25">
      <c r="A3" s="184" t="s">
        <v>32</v>
      </c>
      <c r="B3" s="184" t="s">
        <v>32</v>
      </c>
      <c r="C3" s="184">
        <v>2000</v>
      </c>
      <c r="F3" t="s">
        <v>47</v>
      </c>
      <c r="G3" s="90">
        <f>SUMIF(B1:B42,"Field Trips",C1:C42)</f>
        <v>11250</v>
      </c>
    </row>
    <row r="4" spans="1:9" x14ac:dyDescent="0.25">
      <c r="A4" s="184" t="s">
        <v>30</v>
      </c>
      <c r="B4" s="184" t="s">
        <v>38</v>
      </c>
      <c r="C4" s="184">
        <v>1500</v>
      </c>
      <c r="F4" t="s">
        <v>77</v>
      </c>
      <c r="G4" s="90">
        <f>SUMIF(B1:B42,"School Supplies",C1:C42)</f>
        <v>7300</v>
      </c>
    </row>
    <row r="5" spans="1:9" x14ac:dyDescent="0.25">
      <c r="A5" s="184" t="s">
        <v>38</v>
      </c>
      <c r="B5" s="184" t="s">
        <v>38</v>
      </c>
      <c r="C5" s="184">
        <v>2550</v>
      </c>
      <c r="F5" t="s">
        <v>85</v>
      </c>
      <c r="G5" s="90">
        <f>SUMIF(B1:B42,"Teacher Supplies",C1:C42)</f>
        <v>8500</v>
      </c>
    </row>
    <row r="6" spans="1:9" x14ac:dyDescent="0.25">
      <c r="A6" s="184" t="s">
        <v>34</v>
      </c>
      <c r="B6" s="184" t="s">
        <v>335</v>
      </c>
      <c r="C6" s="184">
        <v>100</v>
      </c>
      <c r="F6" t="s">
        <v>332</v>
      </c>
      <c r="G6" s="90">
        <f>SUMIF(B1:B42,"Enrichment Programs",C1:C42)</f>
        <v>7980</v>
      </c>
    </row>
    <row r="7" spans="1:9" x14ac:dyDescent="0.25">
      <c r="A7" s="184" t="s">
        <v>42</v>
      </c>
      <c r="B7" s="184" t="s">
        <v>335</v>
      </c>
      <c r="C7" s="184">
        <v>750</v>
      </c>
      <c r="F7" t="s">
        <v>20</v>
      </c>
      <c r="G7" s="90">
        <f>SUMIF(B1:B42,"Fun Run",C1:C42)</f>
        <v>5250</v>
      </c>
    </row>
    <row r="8" spans="1:9" x14ac:dyDescent="0.25">
      <c r="A8" s="184" t="s">
        <v>62</v>
      </c>
      <c r="B8" s="184" t="s">
        <v>335</v>
      </c>
      <c r="C8" s="184">
        <v>150</v>
      </c>
      <c r="F8" t="s">
        <v>38</v>
      </c>
      <c r="G8" s="90">
        <f>SUMIF(B1:B42,"Class Parties",C1:C42)</f>
        <v>4050</v>
      </c>
    </row>
    <row r="9" spans="1:9" x14ac:dyDescent="0.25">
      <c r="A9" s="184" t="s">
        <v>79</v>
      </c>
      <c r="B9" s="184" t="s">
        <v>335</v>
      </c>
      <c r="C9" s="184">
        <v>600</v>
      </c>
      <c r="F9" t="s">
        <v>333</v>
      </c>
      <c r="G9" s="90">
        <f>SUMIF(B1:B42,"Staff Support",C1:C42)</f>
        <v>2150</v>
      </c>
    </row>
    <row r="10" spans="1:9" x14ac:dyDescent="0.25">
      <c r="A10" s="184" t="s">
        <v>31</v>
      </c>
      <c r="B10" s="184" t="s">
        <v>332</v>
      </c>
      <c r="C10" s="184">
        <v>1000</v>
      </c>
      <c r="F10" t="s">
        <v>334</v>
      </c>
      <c r="G10" s="90">
        <f>SUMIF(B2:B43,"PTO Admin",C2:C43)</f>
        <v>1630</v>
      </c>
    </row>
    <row r="11" spans="1:9" x14ac:dyDescent="0.25">
      <c r="A11" s="184" t="s">
        <v>33</v>
      </c>
      <c r="B11" s="184" t="s">
        <v>332</v>
      </c>
      <c r="C11" s="184">
        <v>1500</v>
      </c>
      <c r="F11" t="s">
        <v>32</v>
      </c>
      <c r="G11" s="90">
        <f>SUMIF(B3:B44,"Assemblies",C3:C44)</f>
        <v>2000</v>
      </c>
    </row>
    <row r="12" spans="1:9" x14ac:dyDescent="0.25">
      <c r="A12" s="184" t="s">
        <v>35</v>
      </c>
      <c r="B12" s="184" t="s">
        <v>332</v>
      </c>
      <c r="C12" s="184">
        <v>500</v>
      </c>
      <c r="F12" t="s">
        <v>335</v>
      </c>
      <c r="G12" s="90">
        <f>SUMIF(B4:B45,"Community Events",C4:C45)</f>
        <v>1600</v>
      </c>
    </row>
    <row r="13" spans="1:9" x14ac:dyDescent="0.25">
      <c r="A13" s="184" t="s">
        <v>36</v>
      </c>
      <c r="B13" s="184" t="s">
        <v>332</v>
      </c>
      <c r="C13" s="184">
        <v>230</v>
      </c>
      <c r="F13" t="s">
        <v>336</v>
      </c>
      <c r="G13" s="90">
        <f>SUMIF(B5:B46,"Other",C5:C46)</f>
        <v>1250</v>
      </c>
    </row>
    <row r="14" spans="1:9" x14ac:dyDescent="0.25">
      <c r="A14" s="184" t="s">
        <v>41</v>
      </c>
      <c r="B14" s="184" t="s">
        <v>332</v>
      </c>
      <c r="C14" s="184">
        <v>3250</v>
      </c>
      <c r="G14" s="90"/>
    </row>
    <row r="15" spans="1:9" x14ac:dyDescent="0.25">
      <c r="A15" s="184" t="s">
        <v>46</v>
      </c>
      <c r="B15" s="184" t="s">
        <v>332</v>
      </c>
      <c r="C15" s="184">
        <v>200</v>
      </c>
      <c r="F15" t="s">
        <v>337</v>
      </c>
      <c r="G15" s="90">
        <f>SUM(G3:G14)</f>
        <v>52960</v>
      </c>
    </row>
    <row r="16" spans="1:9" x14ac:dyDescent="0.25">
      <c r="A16" s="184" t="s">
        <v>338</v>
      </c>
      <c r="B16" s="184" t="s">
        <v>332</v>
      </c>
      <c r="C16" s="184">
        <v>250</v>
      </c>
    </row>
    <row r="17" spans="1:3" x14ac:dyDescent="0.25">
      <c r="A17" s="184" t="s">
        <v>75</v>
      </c>
      <c r="B17" s="184" t="s">
        <v>332</v>
      </c>
      <c r="C17" s="184">
        <v>425</v>
      </c>
    </row>
    <row r="18" spans="1:3" x14ac:dyDescent="0.25">
      <c r="A18" s="184" t="s">
        <v>76</v>
      </c>
      <c r="B18" s="184" t="s">
        <v>332</v>
      </c>
      <c r="C18" s="184">
        <v>475</v>
      </c>
    </row>
    <row r="19" spans="1:3" x14ac:dyDescent="0.25">
      <c r="A19" s="184" t="s">
        <v>88</v>
      </c>
      <c r="B19" s="184" t="s">
        <v>332</v>
      </c>
      <c r="C19" s="184">
        <v>150</v>
      </c>
    </row>
    <row r="20" spans="1:3" x14ac:dyDescent="0.25">
      <c r="A20" s="184" t="s">
        <v>47</v>
      </c>
      <c r="B20" s="184" t="s">
        <v>47</v>
      </c>
      <c r="C20" s="184">
        <f>1875*6</f>
        <v>11250</v>
      </c>
    </row>
    <row r="21" spans="1:3" x14ac:dyDescent="0.25">
      <c r="A21" s="184" t="s">
        <v>57</v>
      </c>
      <c r="B21" s="184" t="s">
        <v>20</v>
      </c>
      <c r="C21" s="184">
        <v>1000</v>
      </c>
    </row>
    <row r="22" spans="1:3" x14ac:dyDescent="0.25">
      <c r="A22" s="184" t="s">
        <v>58</v>
      </c>
      <c r="B22" s="184" t="s">
        <v>20</v>
      </c>
      <c r="C22" s="184">
        <v>4250</v>
      </c>
    </row>
    <row r="23" spans="1:3" x14ac:dyDescent="0.25">
      <c r="A23" s="184" t="s">
        <v>39</v>
      </c>
      <c r="B23" s="184" t="s">
        <v>336</v>
      </c>
      <c r="C23" s="184">
        <v>250</v>
      </c>
    </row>
    <row r="24" spans="1:3" x14ac:dyDescent="0.25">
      <c r="A24" s="184" t="s">
        <v>86</v>
      </c>
      <c r="B24" s="184" t="s">
        <v>336</v>
      </c>
      <c r="C24" s="184">
        <v>1000</v>
      </c>
    </row>
    <row r="25" spans="1:3" x14ac:dyDescent="0.25">
      <c r="A25" s="184" t="s">
        <v>43</v>
      </c>
      <c r="B25" s="184" t="s">
        <v>334</v>
      </c>
      <c r="C25" s="184">
        <v>50</v>
      </c>
    </row>
    <row r="26" spans="1:3" x14ac:dyDescent="0.25">
      <c r="A26" s="184" t="s">
        <v>44</v>
      </c>
      <c r="B26" s="184" t="s">
        <v>334</v>
      </c>
      <c r="C26" s="184">
        <v>500</v>
      </c>
    </row>
    <row r="27" spans="1:3" x14ac:dyDescent="0.25">
      <c r="A27" s="184" t="s">
        <v>61</v>
      </c>
      <c r="B27" s="184" t="s">
        <v>334</v>
      </c>
      <c r="C27" s="184">
        <v>340</v>
      </c>
    </row>
    <row r="28" spans="1:3" x14ac:dyDescent="0.25">
      <c r="A28" s="184" t="s">
        <v>67</v>
      </c>
      <c r="B28" s="184" t="s">
        <v>334</v>
      </c>
      <c r="C28" s="184">
        <v>250</v>
      </c>
    </row>
    <row r="29" spans="1:3" x14ac:dyDescent="0.25">
      <c r="A29" s="184" t="s">
        <v>68</v>
      </c>
      <c r="B29" s="184" t="s">
        <v>334</v>
      </c>
      <c r="C29" s="184">
        <v>350</v>
      </c>
    </row>
    <row r="30" spans="1:3" x14ac:dyDescent="0.25">
      <c r="A30" s="184" t="s">
        <v>84</v>
      </c>
      <c r="B30" s="184" t="s">
        <v>334</v>
      </c>
      <c r="C30" s="184">
        <v>140</v>
      </c>
    </row>
    <row r="31" spans="1:3" x14ac:dyDescent="0.25">
      <c r="A31" s="184" t="s">
        <v>45</v>
      </c>
      <c r="B31" s="184" t="s">
        <v>77</v>
      </c>
      <c r="C31" s="184">
        <v>100</v>
      </c>
    </row>
    <row r="32" spans="1:3" x14ac:dyDescent="0.25">
      <c r="A32" s="184" t="s">
        <v>77</v>
      </c>
      <c r="B32" s="184" t="s">
        <v>77</v>
      </c>
      <c r="C32" s="184">
        <v>7000</v>
      </c>
    </row>
    <row r="33" spans="1:3" x14ac:dyDescent="0.25">
      <c r="A33" s="184" t="s">
        <v>155</v>
      </c>
      <c r="B33" s="184" t="s">
        <v>77</v>
      </c>
      <c r="C33" s="184">
        <v>200</v>
      </c>
    </row>
    <row r="34" spans="1:3" x14ac:dyDescent="0.25">
      <c r="A34" s="184" t="s">
        <v>80</v>
      </c>
      <c r="B34" s="184" t="s">
        <v>333</v>
      </c>
      <c r="C34" s="184">
        <v>1350</v>
      </c>
    </row>
    <row r="35" spans="1:3" x14ac:dyDescent="0.25">
      <c r="A35" s="184" t="s">
        <v>81</v>
      </c>
      <c r="B35" s="184" t="s">
        <v>333</v>
      </c>
      <c r="C35" s="184">
        <v>300</v>
      </c>
    </row>
    <row r="36" spans="1:3" x14ac:dyDescent="0.25">
      <c r="A36" s="184" t="s">
        <v>83</v>
      </c>
      <c r="B36" s="184" t="s">
        <v>333</v>
      </c>
      <c r="C36" s="184">
        <v>500</v>
      </c>
    </row>
    <row r="37" spans="1:3" x14ac:dyDescent="0.25">
      <c r="A37" s="184" t="s">
        <v>85</v>
      </c>
      <c r="B37" s="184" t="s">
        <v>85</v>
      </c>
      <c r="C37" s="184">
        <v>8500</v>
      </c>
    </row>
    <row r="38" spans="1:3" x14ac:dyDescent="0.25">
      <c r="A38" s="184" t="s">
        <v>29</v>
      </c>
      <c r="B38" s="184"/>
      <c r="C38" s="184"/>
    </row>
    <row r="39" spans="1:3" x14ac:dyDescent="0.25">
      <c r="A39" s="184" t="s">
        <v>70</v>
      </c>
      <c r="B39" s="184"/>
      <c r="C39" s="184"/>
    </row>
    <row r="40" spans="1:3" x14ac:dyDescent="0.25">
      <c r="A40" s="184" t="s">
        <v>71</v>
      </c>
      <c r="B40" s="184"/>
      <c r="C40" s="184"/>
    </row>
    <row r="41" spans="1:3" x14ac:dyDescent="0.25">
      <c r="A41" s="184" t="s">
        <v>72</v>
      </c>
      <c r="B41" s="184"/>
      <c r="C41" s="184"/>
    </row>
    <row r="42" spans="1:3" x14ac:dyDescent="0.25">
      <c r="A42" s="184" t="s">
        <v>73</v>
      </c>
      <c r="B42" s="184"/>
      <c r="C42" s="184"/>
    </row>
    <row r="43" spans="1:3" x14ac:dyDescent="0.25">
      <c r="A43" s="184"/>
      <c r="B43" s="184"/>
      <c r="C43" s="184"/>
    </row>
    <row r="44" spans="1:3" x14ac:dyDescent="0.25">
      <c r="A44" s="184" t="s">
        <v>89</v>
      </c>
      <c r="B44" s="184"/>
      <c r="C44" s="184">
        <f>SUM(C3:C43)</f>
        <v>52960</v>
      </c>
    </row>
  </sheetData>
  <sortState xmlns:xlrd2="http://schemas.microsoft.com/office/spreadsheetml/2017/richdata2" ref="A3:C44">
    <sortCondition ref="B13:B44"/>
  </sortState>
  <printOptions horizontalCentered="1"/>
  <pageMargins left="0.2" right="0.2" top="0.25" bottom="0.25" header="0" footer="0"/>
  <pageSetup scale="89" orientation="landscape"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938C1-D5F9-41C4-9AC6-E591E8BBF41A}">
  <dimension ref="A2:O89"/>
  <sheetViews>
    <sheetView workbookViewId="0">
      <selection activeCell="D62" sqref="D62"/>
    </sheetView>
  </sheetViews>
  <sheetFormatPr defaultRowHeight="15" x14ac:dyDescent="0.25"/>
  <cols>
    <col min="1" max="1" width="49.5703125" bestFit="1" customWidth="1"/>
  </cols>
  <sheetData>
    <row r="2" spans="1:15" x14ac:dyDescent="0.25">
      <c r="A2" s="1"/>
      <c r="B2" s="2" t="s">
        <v>0</v>
      </c>
      <c r="C2" s="2" t="s">
        <v>1</v>
      </c>
      <c r="D2" s="3" t="s">
        <v>2</v>
      </c>
      <c r="E2" s="2" t="s">
        <v>3</v>
      </c>
      <c r="F2" s="3" t="s">
        <v>4</v>
      </c>
      <c r="G2" s="2" t="s">
        <v>5</v>
      </c>
      <c r="H2" s="3" t="s">
        <v>6</v>
      </c>
      <c r="I2" s="2" t="s">
        <v>7</v>
      </c>
      <c r="J2" s="3" t="s">
        <v>8</v>
      </c>
      <c r="K2" s="2" t="s">
        <v>9</v>
      </c>
      <c r="L2" s="2" t="s">
        <v>10</v>
      </c>
      <c r="M2" s="2">
        <v>44713</v>
      </c>
      <c r="N2" s="4" t="s">
        <v>11</v>
      </c>
      <c r="O2" s="4" t="s">
        <v>12</v>
      </c>
    </row>
    <row r="3" spans="1:15" x14ac:dyDescent="0.25">
      <c r="A3" s="5" t="s">
        <v>13</v>
      </c>
      <c r="B3" s="6"/>
      <c r="C3" s="7"/>
      <c r="D3" s="8"/>
      <c r="E3" s="7"/>
      <c r="F3" s="8"/>
      <c r="G3" s="7"/>
      <c r="H3" s="8"/>
      <c r="I3" s="7"/>
      <c r="J3" s="9"/>
      <c r="K3" s="7"/>
      <c r="L3" s="7"/>
      <c r="M3" s="7"/>
      <c r="N3" s="10"/>
      <c r="O3" s="11"/>
    </row>
    <row r="4" spans="1:15" x14ac:dyDescent="0.25">
      <c r="A4" s="12" t="s">
        <v>14</v>
      </c>
      <c r="B4" s="13"/>
      <c r="C4" s="14"/>
      <c r="D4" s="15"/>
      <c r="E4" s="13"/>
      <c r="F4" s="15"/>
      <c r="G4" s="13"/>
      <c r="H4" s="15"/>
      <c r="I4" s="13"/>
      <c r="J4" s="16">
        <f>407.2</f>
        <v>407.2</v>
      </c>
      <c r="K4" s="13"/>
      <c r="L4" s="13"/>
      <c r="M4" s="13"/>
      <c r="N4" s="17">
        <v>407.2</v>
      </c>
      <c r="O4" s="18">
        <v>0</v>
      </c>
    </row>
    <row r="5" spans="1:15" x14ac:dyDescent="0.25">
      <c r="A5" s="12" t="s">
        <v>15</v>
      </c>
      <c r="B5" s="19"/>
      <c r="C5" s="14"/>
      <c r="D5" s="20"/>
      <c r="E5" s="21">
        <f>2782+88.21</f>
        <v>2870.21</v>
      </c>
      <c r="F5" s="16">
        <v>-1252.3800000000001</v>
      </c>
      <c r="G5" s="21"/>
      <c r="H5" s="20"/>
      <c r="I5" s="19"/>
      <c r="J5" s="20"/>
      <c r="K5" s="21"/>
      <c r="L5" s="21">
        <f>2921.92-1435.9</f>
        <v>1486.02</v>
      </c>
      <c r="M5" s="19"/>
      <c r="N5" s="17">
        <v>3103.85</v>
      </c>
      <c r="O5" s="22">
        <v>4000</v>
      </c>
    </row>
    <row r="6" spans="1:15" x14ac:dyDescent="0.25">
      <c r="A6" s="12" t="s">
        <v>16</v>
      </c>
      <c r="B6" s="19"/>
      <c r="C6" s="19"/>
      <c r="D6" s="20"/>
      <c r="E6" s="21"/>
      <c r="F6" s="20"/>
      <c r="G6" s="21"/>
      <c r="H6" s="16">
        <v>1900</v>
      </c>
      <c r="I6" s="19"/>
      <c r="J6" s="16"/>
      <c r="K6" s="19"/>
      <c r="L6" s="21">
        <v>700</v>
      </c>
      <c r="M6" s="19"/>
      <c r="N6" s="17">
        <v>2600</v>
      </c>
      <c r="O6" s="22">
        <v>2000</v>
      </c>
    </row>
    <row r="7" spans="1:15" x14ac:dyDescent="0.25">
      <c r="A7" s="12" t="s">
        <v>17</v>
      </c>
      <c r="B7" s="21"/>
      <c r="C7" s="21"/>
      <c r="D7" s="16"/>
      <c r="E7" s="21"/>
      <c r="F7" s="16"/>
      <c r="G7" s="21"/>
      <c r="H7" s="16">
        <v>124.9</v>
      </c>
      <c r="I7" s="21"/>
      <c r="J7" s="16"/>
      <c r="K7" s="21"/>
      <c r="L7" s="21"/>
      <c r="M7" s="21"/>
      <c r="N7" s="17">
        <v>124.9</v>
      </c>
      <c r="O7" s="22">
        <v>0</v>
      </c>
    </row>
    <row r="8" spans="1:15" s="70" customFormat="1" x14ac:dyDescent="0.25">
      <c r="A8" s="65" t="s">
        <v>18</v>
      </c>
      <c r="B8" s="66"/>
      <c r="C8" s="66"/>
      <c r="D8" s="67"/>
      <c r="E8" s="66"/>
      <c r="F8" s="67"/>
      <c r="G8" s="66"/>
      <c r="H8" s="67"/>
      <c r="I8" s="66"/>
      <c r="J8" s="67"/>
      <c r="K8" s="66"/>
      <c r="L8" s="66"/>
      <c r="M8" s="66"/>
      <c r="N8" s="68">
        <v>0</v>
      </c>
      <c r="O8" s="69">
        <v>2000</v>
      </c>
    </row>
    <row r="9" spans="1:15" x14ac:dyDescent="0.25">
      <c r="A9" s="12" t="s">
        <v>19</v>
      </c>
      <c r="B9" s="21"/>
      <c r="C9" s="21"/>
      <c r="D9" s="16"/>
      <c r="E9" s="21"/>
      <c r="F9" s="16"/>
      <c r="G9" s="21"/>
      <c r="H9" s="16"/>
      <c r="I9" s="21"/>
      <c r="J9" s="16"/>
      <c r="K9" s="21"/>
      <c r="L9" s="21">
        <v>143.28</v>
      </c>
      <c r="M9" s="21"/>
      <c r="N9" s="17">
        <v>143.28</v>
      </c>
      <c r="O9" s="22">
        <v>1000</v>
      </c>
    </row>
    <row r="10" spans="1:15" x14ac:dyDescent="0.25">
      <c r="A10" s="12" t="s">
        <v>20</v>
      </c>
      <c r="B10" s="21"/>
      <c r="C10" s="21"/>
      <c r="D10" s="16"/>
      <c r="E10" s="23">
        <f>296.06+2106.5</f>
        <v>2402.56</v>
      </c>
      <c r="F10" s="16">
        <f>25993.51+25+100+100</f>
        <v>26218.51</v>
      </c>
      <c r="G10" s="21"/>
      <c r="H10" s="16"/>
      <c r="I10" s="21"/>
      <c r="J10" s="16"/>
      <c r="K10" s="21"/>
      <c r="L10" s="21"/>
      <c r="M10" s="21"/>
      <c r="N10" s="17">
        <v>28621.07</v>
      </c>
      <c r="O10" s="22">
        <v>25000</v>
      </c>
    </row>
    <row r="11" spans="1:15" x14ac:dyDescent="0.25">
      <c r="A11" s="12" t="s">
        <v>21</v>
      </c>
      <c r="B11" s="21"/>
      <c r="C11" s="21"/>
      <c r="D11" s="16"/>
      <c r="E11" s="21">
        <v>20</v>
      </c>
      <c r="F11" s="16">
        <f>710.01</f>
        <v>710.01</v>
      </c>
      <c r="G11" s="21">
        <f>770.65</f>
        <v>770.65</v>
      </c>
      <c r="H11" s="16">
        <v>700</v>
      </c>
      <c r="I11" s="21">
        <f>150</f>
        <v>150</v>
      </c>
      <c r="J11" s="16"/>
      <c r="K11" s="21"/>
      <c r="L11" s="21"/>
      <c r="M11" s="21"/>
      <c r="N11" s="17">
        <v>2350.66</v>
      </c>
      <c r="O11" s="22">
        <v>2000</v>
      </c>
    </row>
    <row r="12" spans="1:15" x14ac:dyDescent="0.25">
      <c r="A12" s="12" t="s">
        <v>22</v>
      </c>
      <c r="B12" s="21"/>
      <c r="C12" s="21"/>
      <c r="D12" s="16"/>
      <c r="E12" s="21"/>
      <c r="F12" s="16"/>
      <c r="G12" s="21"/>
      <c r="H12" s="16"/>
      <c r="I12" s="21"/>
      <c r="J12" s="16">
        <f>144.55+105</f>
        <v>249.55</v>
      </c>
      <c r="K12" s="21"/>
      <c r="L12" s="21"/>
      <c r="M12" s="21"/>
      <c r="N12" s="17">
        <v>249.55</v>
      </c>
      <c r="O12" s="22">
        <v>0</v>
      </c>
    </row>
    <row r="13" spans="1:15" x14ac:dyDescent="0.25">
      <c r="A13" s="12" t="s">
        <v>23</v>
      </c>
      <c r="B13" s="21"/>
      <c r="C13" s="21"/>
      <c r="D13" s="24"/>
      <c r="E13" s="21"/>
      <c r="F13" s="16"/>
      <c r="G13" s="21"/>
      <c r="H13" s="16">
        <v>233.95</v>
      </c>
      <c r="I13" s="21"/>
      <c r="J13" s="16"/>
      <c r="K13" s="21"/>
      <c r="L13" s="21">
        <f>444.51+136.44+32.21</f>
        <v>613.16000000000008</v>
      </c>
      <c r="M13" s="21"/>
      <c r="N13" s="17">
        <v>847.11000000000013</v>
      </c>
      <c r="O13" s="22">
        <v>500</v>
      </c>
    </row>
    <row r="14" spans="1:15" x14ac:dyDescent="0.25">
      <c r="A14" s="25" t="s">
        <v>24</v>
      </c>
      <c r="B14" s="21"/>
      <c r="C14" s="21"/>
      <c r="D14" s="16">
        <f>148.45+109.81</f>
        <v>258.26</v>
      </c>
      <c r="E14" s="21"/>
      <c r="F14" s="16">
        <f>108+120.71</f>
        <v>228.70999999999998</v>
      </c>
      <c r="G14" s="21"/>
      <c r="H14" s="16"/>
      <c r="I14" s="21">
        <f>157.13+118.33</f>
        <v>275.45999999999998</v>
      </c>
      <c r="J14" s="16"/>
      <c r="K14" s="21"/>
      <c r="L14" s="21">
        <f>123.45+79.64</f>
        <v>203.09</v>
      </c>
      <c r="M14" s="21"/>
      <c r="N14" s="17">
        <v>965.52</v>
      </c>
      <c r="O14" s="22">
        <v>800</v>
      </c>
    </row>
    <row r="15" spans="1:15" x14ac:dyDescent="0.25">
      <c r="A15" s="12" t="s">
        <v>25</v>
      </c>
      <c r="B15" s="21"/>
      <c r="C15" s="21"/>
      <c r="D15" s="16">
        <v>7369.83</v>
      </c>
      <c r="E15" s="21"/>
      <c r="F15" s="16"/>
      <c r="G15" s="21"/>
      <c r="H15" s="16"/>
      <c r="I15" s="21"/>
      <c r="J15" s="16"/>
      <c r="K15" s="21"/>
      <c r="L15" s="21"/>
      <c r="M15" s="21"/>
      <c r="N15" s="17">
        <v>7369.83</v>
      </c>
      <c r="O15" s="22">
        <v>7000</v>
      </c>
    </row>
    <row r="16" spans="1:15" x14ac:dyDescent="0.25">
      <c r="A16" s="12" t="s">
        <v>26</v>
      </c>
      <c r="B16" s="21"/>
      <c r="C16" s="21"/>
      <c r="D16" s="16"/>
      <c r="E16" s="21"/>
      <c r="F16" s="16"/>
      <c r="G16" s="21"/>
      <c r="H16" s="16"/>
      <c r="I16" s="21"/>
      <c r="J16" s="16"/>
      <c r="K16" s="21"/>
      <c r="L16" s="21"/>
      <c r="M16" s="21"/>
      <c r="N16" s="17">
        <v>0</v>
      </c>
      <c r="O16" s="22">
        <v>500</v>
      </c>
    </row>
    <row r="17" spans="1:15" x14ac:dyDescent="0.25">
      <c r="A17" s="12" t="s">
        <v>27</v>
      </c>
      <c r="B17" s="21"/>
      <c r="C17" s="21"/>
      <c r="D17" s="16"/>
      <c r="E17" s="21"/>
      <c r="F17" s="16"/>
      <c r="G17" s="21"/>
      <c r="H17" s="16"/>
      <c r="I17" s="21"/>
      <c r="J17" s="16"/>
      <c r="K17" s="21"/>
      <c r="L17" s="21"/>
      <c r="M17" s="21"/>
      <c r="N17" s="17">
        <v>0</v>
      </c>
      <c r="O17" s="22">
        <v>1000</v>
      </c>
    </row>
    <row r="18" spans="1:15" x14ac:dyDescent="0.25">
      <c r="A18" s="12"/>
      <c r="B18" s="21"/>
      <c r="C18" s="21"/>
      <c r="D18" s="16"/>
      <c r="E18" s="21"/>
      <c r="F18" s="16"/>
      <c r="G18" s="21"/>
      <c r="H18" s="16"/>
      <c r="I18" s="21"/>
      <c r="J18" s="16"/>
      <c r="K18" s="21"/>
      <c r="L18" s="21"/>
      <c r="M18" s="21"/>
      <c r="N18" s="26"/>
      <c r="O18" s="22"/>
    </row>
    <row r="19" spans="1:15" x14ac:dyDescent="0.25">
      <c r="A19" s="27" t="s">
        <v>28</v>
      </c>
      <c r="B19" s="28">
        <f t="shared" ref="B19:O19" si="0">SUM(B4:B18)</f>
        <v>0</v>
      </c>
      <c r="C19" s="28">
        <f t="shared" si="0"/>
        <v>0</v>
      </c>
      <c r="D19" s="29">
        <f>SUM(D4:D18)</f>
        <v>7628.09</v>
      </c>
      <c r="E19" s="28">
        <f t="shared" si="0"/>
        <v>5292.77</v>
      </c>
      <c r="F19" s="29">
        <f t="shared" si="0"/>
        <v>25904.849999999995</v>
      </c>
      <c r="G19" s="28">
        <f t="shared" si="0"/>
        <v>770.65</v>
      </c>
      <c r="H19" s="29">
        <f t="shared" si="0"/>
        <v>2958.85</v>
      </c>
      <c r="I19" s="28">
        <f t="shared" si="0"/>
        <v>425.46</v>
      </c>
      <c r="J19" s="29">
        <f t="shared" si="0"/>
        <v>656.75</v>
      </c>
      <c r="K19" s="28">
        <f t="shared" si="0"/>
        <v>0</v>
      </c>
      <c r="L19" s="28">
        <f>SUM(L4:L18)</f>
        <v>3145.55</v>
      </c>
      <c r="M19" s="28">
        <f t="shared" si="0"/>
        <v>0</v>
      </c>
      <c r="N19" s="30">
        <f t="shared" si="0"/>
        <v>46782.969999999994</v>
      </c>
      <c r="O19" s="31">
        <f t="shared" si="0"/>
        <v>45800</v>
      </c>
    </row>
    <row r="20" spans="1:15" x14ac:dyDescent="0.25">
      <c r="A20" s="5" t="s">
        <v>29</v>
      </c>
      <c r="B20" s="32"/>
      <c r="C20" s="32"/>
      <c r="D20" s="24"/>
      <c r="E20" s="32"/>
      <c r="F20" s="24"/>
      <c r="G20" s="32"/>
      <c r="H20" s="24"/>
      <c r="I20" s="32"/>
      <c r="J20" s="24"/>
      <c r="K20" s="32"/>
      <c r="L20" s="32"/>
      <c r="M20" s="32"/>
      <c r="N20" s="33"/>
      <c r="O20" s="34"/>
    </row>
    <row r="21" spans="1:15" x14ac:dyDescent="0.25">
      <c r="A21" s="12" t="s">
        <v>30</v>
      </c>
      <c r="B21" s="21"/>
      <c r="C21" s="21"/>
      <c r="D21" s="16"/>
      <c r="E21" s="21"/>
      <c r="F21" s="16"/>
      <c r="G21" s="21"/>
      <c r="H21" s="16"/>
      <c r="I21" s="21"/>
      <c r="J21" s="16"/>
      <c r="K21" s="21"/>
      <c r="L21" s="21"/>
      <c r="M21" s="21"/>
      <c r="N21" s="26">
        <v>0</v>
      </c>
      <c r="O21" s="22">
        <v>1500</v>
      </c>
    </row>
    <row r="22" spans="1:15" x14ac:dyDescent="0.25">
      <c r="A22" s="12" t="s">
        <v>31</v>
      </c>
      <c r="B22" s="21"/>
      <c r="C22" s="21"/>
      <c r="D22" s="16"/>
      <c r="E22" s="21"/>
      <c r="F22" s="16">
        <f>150</f>
        <v>150</v>
      </c>
      <c r="G22" s="21"/>
      <c r="H22" s="16"/>
      <c r="I22" s="21"/>
      <c r="J22" s="16"/>
      <c r="K22" s="21"/>
      <c r="L22" s="35"/>
      <c r="M22" s="35"/>
      <c r="N22" s="26">
        <v>150</v>
      </c>
      <c r="O22" s="22">
        <v>1500</v>
      </c>
    </row>
    <row r="23" spans="1:15" x14ac:dyDescent="0.25">
      <c r="A23" s="12" t="s">
        <v>32</v>
      </c>
      <c r="B23" s="21"/>
      <c r="C23" s="21"/>
      <c r="D23" s="16"/>
      <c r="E23" s="21"/>
      <c r="F23" s="16"/>
      <c r="G23" s="21"/>
      <c r="H23" s="16"/>
      <c r="I23" s="21"/>
      <c r="J23" s="16"/>
      <c r="K23" s="21">
        <f>800</f>
        <v>800</v>
      </c>
      <c r="L23" s="21"/>
      <c r="M23" s="21"/>
      <c r="N23" s="26">
        <v>800</v>
      </c>
      <c r="O23" s="22">
        <v>2000</v>
      </c>
    </row>
    <row r="24" spans="1:15" x14ac:dyDescent="0.25">
      <c r="A24" s="12" t="s">
        <v>33</v>
      </c>
      <c r="B24" s="21"/>
      <c r="C24" s="21"/>
      <c r="D24" s="16">
        <v>65</v>
      </c>
      <c r="E24" s="21"/>
      <c r="F24" s="16"/>
      <c r="G24" s="21">
        <f>441.31+52.44+94.8+266.5</f>
        <v>855.05</v>
      </c>
      <c r="H24" s="16"/>
      <c r="I24" s="21">
        <f>283.54</f>
        <v>283.54000000000002</v>
      </c>
      <c r="J24" s="16"/>
      <c r="K24" s="21"/>
      <c r="L24" s="21">
        <v>41.73</v>
      </c>
      <c r="M24" s="21"/>
      <c r="N24" s="26">
        <v>1245.32</v>
      </c>
      <c r="O24" s="22">
        <v>1500</v>
      </c>
    </row>
    <row r="25" spans="1:15" x14ac:dyDescent="0.25">
      <c r="A25" s="12" t="s">
        <v>34</v>
      </c>
      <c r="B25" s="21"/>
      <c r="C25" s="21"/>
      <c r="D25" s="16"/>
      <c r="E25" s="21"/>
      <c r="F25" s="16"/>
      <c r="G25" s="21"/>
      <c r="H25" s="16"/>
      <c r="I25" s="21"/>
      <c r="J25" s="16"/>
      <c r="K25" s="21"/>
      <c r="L25" s="21"/>
      <c r="M25" s="21"/>
      <c r="N25" s="26">
        <v>0</v>
      </c>
      <c r="O25" s="22">
        <v>100</v>
      </c>
    </row>
    <row r="26" spans="1:15" x14ac:dyDescent="0.25">
      <c r="A26" s="12" t="s">
        <v>97</v>
      </c>
      <c r="B26" s="21"/>
      <c r="C26" s="21"/>
      <c r="D26" s="16"/>
      <c r="E26" s="21"/>
      <c r="F26" s="16"/>
      <c r="G26" s="21"/>
      <c r="H26" s="16"/>
      <c r="I26" s="21"/>
      <c r="J26" s="16"/>
      <c r="K26" s="21"/>
      <c r="L26" s="21"/>
      <c r="M26" s="21"/>
      <c r="N26" s="26">
        <v>0</v>
      </c>
      <c r="O26" s="22">
        <v>3000</v>
      </c>
    </row>
    <row r="27" spans="1:15" x14ac:dyDescent="0.25">
      <c r="A27" s="12" t="s">
        <v>35</v>
      </c>
      <c r="B27" s="21"/>
      <c r="C27" s="21"/>
      <c r="D27" s="16"/>
      <c r="E27" s="21"/>
      <c r="F27" s="16"/>
      <c r="G27" s="21">
        <v>211.2</v>
      </c>
      <c r="H27" s="16"/>
      <c r="I27" s="21"/>
      <c r="J27" s="16">
        <f>64</f>
        <v>64</v>
      </c>
      <c r="K27" s="21"/>
      <c r="L27" s="21"/>
      <c r="M27" s="21"/>
      <c r="N27" s="26">
        <v>275.2</v>
      </c>
      <c r="O27" s="22">
        <v>500</v>
      </c>
    </row>
    <row r="28" spans="1:15" s="70" customFormat="1" x14ac:dyDescent="0.25">
      <c r="A28" s="65" t="s">
        <v>36</v>
      </c>
      <c r="B28" s="66"/>
      <c r="C28" s="66"/>
      <c r="D28" s="67"/>
      <c r="E28" s="66"/>
      <c r="F28" s="67"/>
      <c r="G28" s="66"/>
      <c r="H28" s="67"/>
      <c r="I28" s="66"/>
      <c r="J28" s="67"/>
      <c r="K28" s="66"/>
      <c r="L28" s="66"/>
      <c r="M28" s="66"/>
      <c r="N28" s="71">
        <v>0</v>
      </c>
      <c r="O28" s="69">
        <v>230</v>
      </c>
    </row>
    <row r="29" spans="1:15" s="70" customFormat="1" x14ac:dyDescent="0.25">
      <c r="A29" s="65" t="s">
        <v>37</v>
      </c>
      <c r="B29" s="66"/>
      <c r="C29" s="66"/>
      <c r="D29" s="72"/>
      <c r="E29" s="66"/>
      <c r="F29" s="67"/>
      <c r="G29" s="66"/>
      <c r="H29" s="67"/>
      <c r="I29" s="66"/>
      <c r="J29" s="67"/>
      <c r="K29" s="66"/>
      <c r="L29" s="66"/>
      <c r="M29" s="66"/>
      <c r="N29" s="71">
        <v>0</v>
      </c>
      <c r="O29" s="69">
        <v>100</v>
      </c>
    </row>
    <row r="30" spans="1:15" x14ac:dyDescent="0.25">
      <c r="A30" s="12" t="s">
        <v>38</v>
      </c>
      <c r="B30" s="21"/>
      <c r="C30" s="21"/>
      <c r="D30" s="20"/>
      <c r="E30" s="21"/>
      <c r="F30" s="16">
        <f>139.02+45.97+50+49.09+38.05</f>
        <v>322.13000000000005</v>
      </c>
      <c r="G30" s="21"/>
      <c r="H30" s="16">
        <f>15.86</f>
        <v>15.86</v>
      </c>
      <c r="I30" s="21">
        <f>50+15.31+17.19+109.81+47.07</f>
        <v>239.38</v>
      </c>
      <c r="J30" s="16"/>
      <c r="K30" s="21"/>
      <c r="L30" s="21">
        <f>78.03</f>
        <v>78.03</v>
      </c>
      <c r="M30" s="21"/>
      <c r="N30" s="26">
        <v>655.40000000000009</v>
      </c>
      <c r="O30" s="22">
        <v>2700</v>
      </c>
    </row>
    <row r="31" spans="1:15" x14ac:dyDescent="0.25">
      <c r="A31" s="12" t="s">
        <v>39</v>
      </c>
      <c r="B31" s="21"/>
      <c r="C31" s="21"/>
      <c r="D31" s="16">
        <v>250</v>
      </c>
      <c r="E31" s="21"/>
      <c r="F31" s="16"/>
      <c r="G31" s="21"/>
      <c r="H31" s="16"/>
      <c r="I31" s="21"/>
      <c r="J31" s="16"/>
      <c r="K31" s="21"/>
      <c r="L31" s="21"/>
      <c r="M31" s="21"/>
      <c r="N31" s="26">
        <v>250</v>
      </c>
      <c r="O31" s="22">
        <v>250</v>
      </c>
    </row>
    <row r="32" spans="1:15" x14ac:dyDescent="0.25">
      <c r="A32" s="12" t="s">
        <v>40</v>
      </c>
      <c r="B32" s="21"/>
      <c r="C32" s="21"/>
      <c r="D32" s="20"/>
      <c r="E32" s="21"/>
      <c r="F32" s="16"/>
      <c r="G32" s="21"/>
      <c r="H32" s="16"/>
      <c r="I32" s="21"/>
      <c r="J32" s="16"/>
      <c r="K32" s="21"/>
      <c r="L32" s="21"/>
      <c r="M32" s="21"/>
      <c r="N32" s="26">
        <v>0</v>
      </c>
      <c r="O32" s="22">
        <v>1000</v>
      </c>
    </row>
    <row r="33" spans="1:15" x14ac:dyDescent="0.25">
      <c r="A33" s="12" t="s">
        <v>41</v>
      </c>
      <c r="B33" s="21"/>
      <c r="C33" s="21"/>
      <c r="D33" s="20"/>
      <c r="E33" s="21"/>
      <c r="F33" s="16"/>
      <c r="G33" s="21"/>
      <c r="H33" s="16"/>
      <c r="I33" s="21">
        <f>371.23+202.78</f>
        <v>574.01</v>
      </c>
      <c r="J33" s="16"/>
      <c r="K33" s="21"/>
      <c r="L33" s="21">
        <f>1642.2</f>
        <v>1642.2</v>
      </c>
      <c r="M33" s="21"/>
      <c r="N33" s="26">
        <v>2216.21</v>
      </c>
      <c r="O33" s="22">
        <v>2500</v>
      </c>
    </row>
    <row r="34" spans="1:15" x14ac:dyDescent="0.25">
      <c r="A34" s="36" t="s">
        <v>42</v>
      </c>
      <c r="B34" s="21"/>
      <c r="C34" s="21"/>
      <c r="D34" s="16"/>
      <c r="E34" s="21"/>
      <c r="F34" s="16"/>
      <c r="G34" s="21">
        <f>128.28+280.44</f>
        <v>408.72</v>
      </c>
      <c r="H34" s="16"/>
      <c r="I34" s="21">
        <f>100</f>
        <v>100</v>
      </c>
      <c r="J34" s="16"/>
      <c r="K34" s="21"/>
      <c r="L34" s="21"/>
      <c r="M34" s="21"/>
      <c r="N34" s="26">
        <v>508.72</v>
      </c>
      <c r="O34" s="22">
        <v>750</v>
      </c>
    </row>
    <row r="35" spans="1:15" x14ac:dyDescent="0.25">
      <c r="A35" s="36" t="s">
        <v>43</v>
      </c>
      <c r="B35" s="21"/>
      <c r="C35" s="21"/>
      <c r="D35" s="16"/>
      <c r="E35" s="21"/>
      <c r="F35" s="16"/>
      <c r="G35" s="21"/>
      <c r="H35" s="16"/>
      <c r="I35" s="21"/>
      <c r="J35" s="16"/>
      <c r="K35" s="21"/>
      <c r="L35" s="21"/>
      <c r="M35" s="21"/>
      <c r="N35" s="26">
        <v>0</v>
      </c>
      <c r="O35" s="22">
        <v>50</v>
      </c>
    </row>
    <row r="36" spans="1:15" x14ac:dyDescent="0.25">
      <c r="A36" s="37" t="s">
        <v>44</v>
      </c>
      <c r="B36" s="13"/>
      <c r="C36" s="13"/>
      <c r="D36" s="15"/>
      <c r="E36" s="13">
        <f>21.17+20.17</f>
        <v>41.34</v>
      </c>
      <c r="F36" s="15">
        <v>149</v>
      </c>
      <c r="G36" s="13"/>
      <c r="H36" s="15"/>
      <c r="I36" s="13"/>
      <c r="J36" s="15"/>
      <c r="K36" s="13"/>
      <c r="L36" s="13"/>
      <c r="M36" s="13"/>
      <c r="N36" s="17">
        <v>190.34</v>
      </c>
      <c r="O36" s="18">
        <v>600</v>
      </c>
    </row>
    <row r="37" spans="1:15" x14ac:dyDescent="0.25">
      <c r="A37" s="37" t="s">
        <v>45</v>
      </c>
      <c r="B37" s="13"/>
      <c r="C37" s="13"/>
      <c r="D37" s="15">
        <v>101.92</v>
      </c>
      <c r="E37" s="13"/>
      <c r="F37" s="15"/>
      <c r="G37" s="13"/>
      <c r="H37" s="15"/>
      <c r="I37" s="13"/>
      <c r="J37" s="15"/>
      <c r="K37" s="13"/>
      <c r="L37" s="13"/>
      <c r="M37" s="13"/>
      <c r="N37" s="17">
        <v>101.92</v>
      </c>
      <c r="O37" s="18">
        <v>100</v>
      </c>
    </row>
    <row r="38" spans="1:15" x14ac:dyDescent="0.25">
      <c r="A38" s="38" t="s">
        <v>46</v>
      </c>
      <c r="B38" s="39"/>
      <c r="C38" s="39"/>
      <c r="D38" s="40"/>
      <c r="E38" s="39"/>
      <c r="F38" s="40"/>
      <c r="G38" s="39"/>
      <c r="H38" s="40"/>
      <c r="I38" s="39"/>
      <c r="J38" s="40"/>
      <c r="K38" s="39"/>
      <c r="L38" s="39">
        <f>47.94</f>
        <v>47.94</v>
      </c>
      <c r="M38" s="39"/>
      <c r="N38" s="41">
        <v>47.94</v>
      </c>
      <c r="O38" s="42">
        <v>200</v>
      </c>
    </row>
    <row r="39" spans="1:15" x14ac:dyDescent="0.25">
      <c r="A39" s="43" t="s">
        <v>47</v>
      </c>
      <c r="B39" s="21"/>
      <c r="C39" s="21"/>
      <c r="D39" s="16"/>
      <c r="E39" s="21"/>
      <c r="F39" s="16"/>
      <c r="G39" s="21"/>
      <c r="H39" s="16"/>
      <c r="I39" s="21"/>
      <c r="J39" s="16"/>
      <c r="K39" s="21"/>
      <c r="L39" s="21"/>
      <c r="M39" s="21"/>
      <c r="N39" s="26">
        <v>0</v>
      </c>
      <c r="O39" s="22"/>
    </row>
    <row r="40" spans="1:15" x14ac:dyDescent="0.25">
      <c r="A40" s="44" t="s">
        <v>48</v>
      </c>
      <c r="B40" s="21"/>
      <c r="C40" s="21"/>
      <c r="D40" s="16"/>
      <c r="E40" s="21">
        <v>120</v>
      </c>
      <c r="F40" s="16"/>
      <c r="G40" s="21"/>
      <c r="H40" s="16"/>
      <c r="I40" s="21"/>
      <c r="J40" s="16"/>
      <c r="K40" s="21"/>
      <c r="L40" s="21"/>
      <c r="M40" s="21"/>
      <c r="N40" s="26">
        <v>120</v>
      </c>
      <c r="O40" s="22">
        <v>1875</v>
      </c>
    </row>
    <row r="41" spans="1:15" x14ac:dyDescent="0.25">
      <c r="A41" s="44" t="s">
        <v>49</v>
      </c>
      <c r="B41" s="21"/>
      <c r="C41" s="21"/>
      <c r="D41" s="16"/>
      <c r="E41" s="21"/>
      <c r="F41" s="16"/>
      <c r="G41" s="21"/>
      <c r="H41" s="16"/>
      <c r="I41" s="45"/>
      <c r="J41" s="16">
        <f>354.9</f>
        <v>354.9</v>
      </c>
      <c r="K41" s="21"/>
      <c r="L41" s="21"/>
      <c r="M41" s="21"/>
      <c r="N41" s="26">
        <v>354.9</v>
      </c>
      <c r="O41" s="22">
        <v>1875</v>
      </c>
    </row>
    <row r="42" spans="1:15" x14ac:dyDescent="0.25">
      <c r="A42" s="44" t="s">
        <v>50</v>
      </c>
      <c r="B42" s="21"/>
      <c r="C42" s="21"/>
      <c r="D42" s="16">
        <v>210.15</v>
      </c>
      <c r="E42" s="21"/>
      <c r="F42" s="16"/>
      <c r="G42" s="21"/>
      <c r="H42" s="16"/>
      <c r="I42" s="21">
        <f>409.9</f>
        <v>409.9</v>
      </c>
      <c r="J42" s="16"/>
      <c r="K42" s="21">
        <f>228.15</f>
        <v>228.15</v>
      </c>
      <c r="L42" s="46"/>
      <c r="M42" s="21"/>
      <c r="N42" s="26">
        <v>848.19999999999993</v>
      </c>
      <c r="O42" s="22">
        <v>1875</v>
      </c>
    </row>
    <row r="43" spans="1:15" x14ac:dyDescent="0.25">
      <c r="A43" s="44" t="s">
        <v>51</v>
      </c>
      <c r="B43" s="21"/>
      <c r="C43" s="21"/>
      <c r="D43" s="16"/>
      <c r="E43" s="21"/>
      <c r="F43" s="16"/>
      <c r="G43" s="21"/>
      <c r="H43" s="16"/>
      <c r="I43" s="21"/>
      <c r="J43" s="16"/>
      <c r="K43" s="21"/>
      <c r="L43" s="21">
        <f>384.9</f>
        <v>384.9</v>
      </c>
      <c r="M43" s="21"/>
      <c r="N43" s="26">
        <v>384.9</v>
      </c>
      <c r="O43" s="22">
        <v>1875</v>
      </c>
    </row>
    <row r="44" spans="1:15" x14ac:dyDescent="0.25">
      <c r="A44" s="44" t="s">
        <v>52</v>
      </c>
      <c r="B44" s="21"/>
      <c r="C44" s="21"/>
      <c r="D44" s="16">
        <v>336.15</v>
      </c>
      <c r="E44" s="21"/>
      <c r="F44" s="16"/>
      <c r="G44" s="21">
        <f>70</f>
        <v>70</v>
      </c>
      <c r="H44" s="16"/>
      <c r="I44" s="21"/>
      <c r="J44" s="16"/>
      <c r="K44" s="21"/>
      <c r="L44" s="21"/>
      <c r="M44" s="21"/>
      <c r="N44" s="26">
        <v>406.15</v>
      </c>
      <c r="O44" s="22">
        <v>1875</v>
      </c>
    </row>
    <row r="45" spans="1:15" x14ac:dyDescent="0.25">
      <c r="A45" s="44" t="s">
        <v>53</v>
      </c>
      <c r="B45" s="21"/>
      <c r="C45" s="21"/>
      <c r="D45" s="16"/>
      <c r="E45" s="21"/>
      <c r="F45" s="16"/>
      <c r="G45" s="21"/>
      <c r="H45" s="16"/>
      <c r="I45" s="21"/>
      <c r="J45" s="16"/>
      <c r="K45" s="21">
        <f>450</f>
        <v>450</v>
      </c>
      <c r="L45" s="21"/>
      <c r="M45" s="21"/>
      <c r="N45" s="26">
        <v>450</v>
      </c>
      <c r="O45" s="22">
        <v>1875</v>
      </c>
    </row>
    <row r="46" spans="1:15" x14ac:dyDescent="0.25">
      <c r="A46" s="44" t="s">
        <v>54</v>
      </c>
      <c r="B46" s="21"/>
      <c r="C46" s="21"/>
      <c r="D46" s="16"/>
      <c r="E46" s="21"/>
      <c r="F46" s="16"/>
      <c r="G46" s="21"/>
      <c r="H46" s="16"/>
      <c r="I46" s="21"/>
      <c r="J46" s="16"/>
      <c r="K46" s="21"/>
      <c r="L46" s="21"/>
      <c r="M46" s="21"/>
      <c r="N46" s="26"/>
      <c r="O46" s="22">
        <v>550</v>
      </c>
    </row>
    <row r="47" spans="1:15" x14ac:dyDescent="0.25">
      <c r="A47" s="47" t="s">
        <v>55</v>
      </c>
      <c r="B47" s="21"/>
      <c r="C47" s="21"/>
      <c r="D47" s="20"/>
      <c r="E47" s="21"/>
      <c r="F47" s="16"/>
      <c r="G47" s="21"/>
      <c r="H47" s="16"/>
      <c r="I47" s="21"/>
      <c r="J47" s="16"/>
      <c r="K47" s="21"/>
      <c r="L47" s="21"/>
      <c r="M47" s="21"/>
      <c r="N47" s="26">
        <v>0</v>
      </c>
      <c r="O47" s="22"/>
    </row>
    <row r="48" spans="1:15" x14ac:dyDescent="0.25">
      <c r="A48" s="27" t="s">
        <v>56</v>
      </c>
      <c r="B48" s="28">
        <f>SUBTOTAL(9,B39:B47)</f>
        <v>0</v>
      </c>
      <c r="C48" s="28">
        <f t="shared" ref="C48:M48" si="1">SUBTOTAL(9,C39:C47)</f>
        <v>0</v>
      </c>
      <c r="D48" s="29">
        <f t="shared" si="1"/>
        <v>546.29999999999995</v>
      </c>
      <c r="E48" s="28">
        <f t="shared" si="1"/>
        <v>120</v>
      </c>
      <c r="F48" s="29">
        <f t="shared" si="1"/>
        <v>0</v>
      </c>
      <c r="G48" s="28">
        <f t="shared" si="1"/>
        <v>70</v>
      </c>
      <c r="H48" s="29">
        <f t="shared" si="1"/>
        <v>0</v>
      </c>
      <c r="I48" s="28">
        <f t="shared" si="1"/>
        <v>409.9</v>
      </c>
      <c r="J48" s="29">
        <f t="shared" si="1"/>
        <v>354.9</v>
      </c>
      <c r="K48" s="28">
        <f t="shared" si="1"/>
        <v>678.15</v>
      </c>
      <c r="L48" s="28">
        <f t="shared" si="1"/>
        <v>384.9</v>
      </c>
      <c r="M48" s="28">
        <f t="shared" si="1"/>
        <v>0</v>
      </c>
      <c r="N48" s="48">
        <f>SUBTOTAL(9,N39:N47)</f>
        <v>2564.15</v>
      </c>
      <c r="O48" s="49">
        <f>SUBTOTAL(9,O39:O47)</f>
        <v>11800</v>
      </c>
    </row>
    <row r="49" spans="1:15" x14ac:dyDescent="0.25">
      <c r="A49" s="12" t="s">
        <v>57</v>
      </c>
      <c r="B49" s="21"/>
      <c r="C49" s="21"/>
      <c r="D49" s="16"/>
      <c r="E49" s="21">
        <v>995</v>
      </c>
      <c r="F49" s="16"/>
      <c r="G49" s="21"/>
      <c r="H49" s="16"/>
      <c r="I49" s="21"/>
      <c r="J49" s="16"/>
      <c r="K49" s="21"/>
      <c r="L49" s="21"/>
      <c r="M49" s="21"/>
      <c r="N49" s="26">
        <v>995</v>
      </c>
      <c r="O49" s="22">
        <v>1000</v>
      </c>
    </row>
    <row r="50" spans="1:15" x14ac:dyDescent="0.25">
      <c r="A50" s="12" t="s">
        <v>58</v>
      </c>
      <c r="B50" s="21"/>
      <c r="C50" s="21"/>
      <c r="D50" s="16">
        <f>179.99+3291.75</f>
        <v>3471.74</v>
      </c>
      <c r="E50" s="21"/>
      <c r="F50" s="16">
        <v>13.89</v>
      </c>
      <c r="G50" s="21"/>
      <c r="H50" s="16">
        <f>30</f>
        <v>30</v>
      </c>
      <c r="I50" s="21"/>
      <c r="J50" s="16"/>
      <c r="K50" s="21"/>
      <c r="L50" s="21"/>
      <c r="M50" s="21"/>
      <c r="N50" s="26">
        <v>3515.6299999999997</v>
      </c>
      <c r="O50" s="22">
        <v>5000</v>
      </c>
    </row>
    <row r="51" spans="1:15" x14ac:dyDescent="0.25">
      <c r="A51" s="25" t="s">
        <v>59</v>
      </c>
      <c r="B51" s="21"/>
      <c r="C51" s="21"/>
      <c r="D51" s="16"/>
      <c r="E51" s="21"/>
      <c r="F51" s="16"/>
      <c r="G51" s="21"/>
      <c r="H51" s="16"/>
      <c r="I51" s="21"/>
      <c r="J51" s="16"/>
      <c r="K51" s="21"/>
      <c r="L51" s="21"/>
      <c r="M51" s="21"/>
      <c r="N51" s="26">
        <v>0</v>
      </c>
      <c r="O51" s="22">
        <v>100</v>
      </c>
    </row>
    <row r="52" spans="1:15" x14ac:dyDescent="0.25">
      <c r="A52" s="12" t="s">
        <v>60</v>
      </c>
      <c r="B52" s="21"/>
      <c r="C52" s="21"/>
      <c r="D52" s="16"/>
      <c r="E52" s="21"/>
      <c r="F52" s="16"/>
      <c r="G52" s="21"/>
      <c r="H52" s="16"/>
      <c r="I52" s="21"/>
      <c r="J52" s="16"/>
      <c r="K52" s="21"/>
      <c r="L52" s="21"/>
      <c r="M52" s="21"/>
      <c r="N52" s="26">
        <v>0</v>
      </c>
      <c r="O52" s="22">
        <v>200</v>
      </c>
    </row>
    <row r="53" spans="1:15" x14ac:dyDescent="0.25">
      <c r="A53" s="12" t="s">
        <v>61</v>
      </c>
      <c r="B53" s="21"/>
      <c r="C53" s="21"/>
      <c r="D53" s="16">
        <v>335</v>
      </c>
      <c r="E53" s="21"/>
      <c r="F53" s="16"/>
      <c r="G53" s="21"/>
      <c r="H53" s="16"/>
      <c r="I53" s="21"/>
      <c r="J53" s="16"/>
      <c r="K53" s="21"/>
      <c r="L53" s="21"/>
      <c r="M53" s="21"/>
      <c r="N53" s="26">
        <v>335</v>
      </c>
      <c r="O53" s="22">
        <v>340</v>
      </c>
    </row>
    <row r="54" spans="1:15" x14ac:dyDescent="0.25">
      <c r="A54" s="12" t="s">
        <v>62</v>
      </c>
      <c r="B54" s="21"/>
      <c r="C54" s="21"/>
      <c r="D54" s="16"/>
      <c r="E54" s="21"/>
      <c r="F54" s="16">
        <v>33.57</v>
      </c>
      <c r="G54" s="21"/>
      <c r="H54" s="16"/>
      <c r="I54" s="21"/>
      <c r="J54" s="16"/>
      <c r="K54" s="21"/>
      <c r="L54" s="21"/>
      <c r="M54" s="21"/>
      <c r="N54" s="26">
        <v>33.57</v>
      </c>
      <c r="O54" s="22">
        <v>200</v>
      </c>
    </row>
    <row r="55" spans="1:15" s="80" customFormat="1" x14ac:dyDescent="0.25">
      <c r="A55" s="75" t="s">
        <v>63</v>
      </c>
      <c r="B55" s="76"/>
      <c r="C55" s="76"/>
      <c r="D55" s="77"/>
      <c r="E55" s="76"/>
      <c r="F55" s="77"/>
      <c r="G55" s="76"/>
      <c r="H55" s="77"/>
      <c r="I55" s="76"/>
      <c r="J55" s="77"/>
      <c r="K55" s="76"/>
      <c r="L55" s="76"/>
      <c r="M55" s="76"/>
      <c r="N55" s="78">
        <v>0</v>
      </c>
      <c r="O55" s="79">
        <v>0</v>
      </c>
    </row>
    <row r="56" spans="1:15" s="70" customFormat="1" x14ac:dyDescent="0.25">
      <c r="A56" s="73" t="s">
        <v>64</v>
      </c>
      <c r="B56" s="66"/>
      <c r="C56" s="66"/>
      <c r="D56" s="67"/>
      <c r="E56" s="66"/>
      <c r="F56" s="67"/>
      <c r="G56" s="66"/>
      <c r="H56" s="67"/>
      <c r="I56" s="66"/>
      <c r="J56" s="67"/>
      <c r="K56" s="66"/>
      <c r="L56" s="66"/>
      <c r="M56" s="66"/>
      <c r="N56" s="71">
        <v>0</v>
      </c>
      <c r="O56" s="69">
        <v>200</v>
      </c>
    </row>
    <row r="57" spans="1:15" s="70" customFormat="1" x14ac:dyDescent="0.25">
      <c r="A57" s="65" t="s">
        <v>65</v>
      </c>
      <c r="B57" s="66"/>
      <c r="C57" s="66"/>
      <c r="D57" s="67"/>
      <c r="E57" s="66"/>
      <c r="F57" s="67"/>
      <c r="G57" s="66"/>
      <c r="H57" s="67"/>
      <c r="I57" s="66"/>
      <c r="J57" s="67"/>
      <c r="K57" s="66"/>
      <c r="L57" s="66"/>
      <c r="M57" s="66"/>
      <c r="N57" s="71">
        <v>0</v>
      </c>
      <c r="O57" s="69">
        <v>100</v>
      </c>
    </row>
    <row r="58" spans="1:15" x14ac:dyDescent="0.25">
      <c r="A58" s="25" t="s">
        <v>66</v>
      </c>
      <c r="B58" s="21"/>
      <c r="C58" s="21"/>
      <c r="D58" s="16"/>
      <c r="E58" s="21"/>
      <c r="F58" s="16"/>
      <c r="G58" s="21"/>
      <c r="H58" s="16"/>
      <c r="I58" s="21"/>
      <c r="J58" s="16"/>
      <c r="K58" s="21"/>
      <c r="L58" s="21"/>
      <c r="M58" s="21"/>
      <c r="N58" s="26">
        <v>0</v>
      </c>
      <c r="O58" s="22">
        <v>250</v>
      </c>
    </row>
    <row r="59" spans="1:15" x14ac:dyDescent="0.25">
      <c r="A59" s="12" t="s">
        <v>67</v>
      </c>
      <c r="B59" s="21"/>
      <c r="C59" s="21"/>
      <c r="D59" s="16"/>
      <c r="E59" s="21"/>
      <c r="F59" s="16">
        <v>9.5</v>
      </c>
      <c r="G59" s="21"/>
      <c r="H59" s="16"/>
      <c r="I59" s="21"/>
      <c r="J59" s="16"/>
      <c r="K59" s="21"/>
      <c r="L59" s="21"/>
      <c r="M59" s="21"/>
      <c r="N59" s="26">
        <v>9.5</v>
      </c>
      <c r="O59" s="22">
        <v>500</v>
      </c>
    </row>
    <row r="60" spans="1:15" x14ac:dyDescent="0.25">
      <c r="A60" s="12" t="s">
        <v>68</v>
      </c>
      <c r="B60" s="21"/>
      <c r="C60" s="21"/>
      <c r="D60" s="16"/>
      <c r="E60" s="21"/>
      <c r="F60" s="16">
        <f>74.99</f>
        <v>74.989999999999995</v>
      </c>
      <c r="G60" s="21"/>
      <c r="H60" s="16"/>
      <c r="I60" s="21"/>
      <c r="J60" s="16"/>
      <c r="K60" s="21"/>
      <c r="L60" s="21"/>
      <c r="M60" s="21"/>
      <c r="N60" s="26">
        <v>74.989999999999995</v>
      </c>
      <c r="O60" s="22">
        <v>500</v>
      </c>
    </row>
    <row r="61" spans="1:15" x14ac:dyDescent="0.25">
      <c r="A61" s="12" t="s">
        <v>69</v>
      </c>
      <c r="B61" s="21"/>
      <c r="C61" s="21"/>
      <c r="D61" s="16"/>
      <c r="E61" s="21"/>
      <c r="F61" s="16"/>
      <c r="G61" s="21"/>
      <c r="H61" s="16"/>
      <c r="I61" s="21"/>
      <c r="J61" s="16"/>
      <c r="K61" s="21"/>
      <c r="L61" s="21"/>
      <c r="M61" s="21"/>
      <c r="N61" s="26">
        <v>0</v>
      </c>
      <c r="O61" s="22">
        <v>120</v>
      </c>
    </row>
    <row r="62" spans="1:15" x14ac:dyDescent="0.25">
      <c r="A62" s="74" t="s">
        <v>70</v>
      </c>
      <c r="B62" s="21"/>
      <c r="C62" s="21"/>
      <c r="D62" s="16"/>
      <c r="E62" s="21"/>
      <c r="F62" s="16"/>
      <c r="G62" s="21"/>
      <c r="H62" s="16"/>
      <c r="I62" s="21"/>
      <c r="J62" s="16"/>
      <c r="K62" s="21"/>
      <c r="L62" s="21"/>
      <c r="M62" s="21"/>
      <c r="N62" s="26">
        <v>0</v>
      </c>
      <c r="O62" s="22">
        <v>500</v>
      </c>
    </row>
    <row r="63" spans="1:15" x14ac:dyDescent="0.25">
      <c r="A63" s="74" t="s">
        <v>71</v>
      </c>
      <c r="B63" s="21"/>
      <c r="C63" s="21"/>
      <c r="D63" s="16"/>
      <c r="E63" s="21"/>
      <c r="F63" s="16"/>
      <c r="G63" s="21"/>
      <c r="H63" s="16"/>
      <c r="I63" s="21"/>
      <c r="J63" s="16"/>
      <c r="K63" s="21"/>
      <c r="L63" s="21"/>
      <c r="M63" s="21"/>
      <c r="N63" s="26">
        <v>0</v>
      </c>
      <c r="O63" s="22">
        <v>500</v>
      </c>
    </row>
    <row r="64" spans="1:15" x14ac:dyDescent="0.25">
      <c r="A64" s="74" t="s">
        <v>72</v>
      </c>
      <c r="B64" s="21"/>
      <c r="C64" s="21"/>
      <c r="D64" s="16"/>
      <c r="E64" s="21"/>
      <c r="F64" s="16"/>
      <c r="G64" s="21"/>
      <c r="H64" s="16"/>
      <c r="I64" s="21"/>
      <c r="J64" s="16"/>
      <c r="K64" s="21"/>
      <c r="L64" s="21"/>
      <c r="M64" s="21"/>
      <c r="N64" s="26"/>
      <c r="O64" s="22">
        <v>250</v>
      </c>
    </row>
    <row r="65" spans="1:15" x14ac:dyDescent="0.25">
      <c r="A65" s="74" t="s">
        <v>73</v>
      </c>
      <c r="B65" s="21"/>
      <c r="C65" s="21"/>
      <c r="D65" s="16"/>
      <c r="E65" s="21"/>
      <c r="F65" s="16"/>
      <c r="G65" s="21"/>
      <c r="H65" s="16"/>
      <c r="I65" s="21"/>
      <c r="J65" s="16"/>
      <c r="K65" s="21"/>
      <c r="L65" s="21"/>
      <c r="M65" s="21"/>
      <c r="N65" s="26">
        <v>0</v>
      </c>
      <c r="O65" s="22">
        <v>0</v>
      </c>
    </row>
    <row r="66" spans="1:15" x14ac:dyDescent="0.25">
      <c r="A66" s="74" t="s">
        <v>74</v>
      </c>
      <c r="B66" s="21"/>
      <c r="C66" s="21"/>
      <c r="D66" s="16"/>
      <c r="E66" s="21"/>
      <c r="F66" s="16"/>
      <c r="G66" s="21"/>
      <c r="H66" s="16"/>
      <c r="I66" s="21"/>
      <c r="J66" s="16"/>
      <c r="K66" s="21"/>
      <c r="L66" s="21"/>
      <c r="M66" s="21"/>
      <c r="N66" s="26">
        <v>0</v>
      </c>
      <c r="O66" s="22">
        <v>500</v>
      </c>
    </row>
    <row r="67" spans="1:15" x14ac:dyDescent="0.25">
      <c r="A67" s="25" t="s">
        <v>75</v>
      </c>
      <c r="B67" s="21"/>
      <c r="C67" s="21"/>
      <c r="D67" s="16">
        <v>395.34</v>
      </c>
      <c r="E67" s="21"/>
      <c r="F67" s="16"/>
      <c r="G67" s="21"/>
      <c r="H67" s="16"/>
      <c r="I67" s="21"/>
      <c r="J67" s="16"/>
      <c r="K67" s="21"/>
      <c r="L67" s="21"/>
      <c r="M67" s="21"/>
      <c r="N67" s="26">
        <v>395.34</v>
      </c>
      <c r="O67" s="22">
        <v>500</v>
      </c>
    </row>
    <row r="68" spans="1:15" x14ac:dyDescent="0.25">
      <c r="A68" s="25" t="s">
        <v>76</v>
      </c>
      <c r="B68" s="21"/>
      <c r="C68" s="21"/>
      <c r="D68" s="16">
        <f>460.68</f>
        <v>460.68</v>
      </c>
      <c r="E68" s="21"/>
      <c r="F68" s="16"/>
      <c r="G68" s="21"/>
      <c r="H68" s="16"/>
      <c r="I68" s="21"/>
      <c r="J68" s="16"/>
      <c r="K68" s="21"/>
      <c r="L68" s="21"/>
      <c r="M68" s="21"/>
      <c r="N68" s="26">
        <v>460.68</v>
      </c>
      <c r="O68" s="22">
        <v>500</v>
      </c>
    </row>
    <row r="69" spans="1:15" x14ac:dyDescent="0.25">
      <c r="A69" s="12" t="s">
        <v>77</v>
      </c>
      <c r="B69" s="21"/>
      <c r="C69" s="21">
        <f>2905.09</f>
        <v>2905.09</v>
      </c>
      <c r="D69" s="16">
        <f>202.44+864.33+261.82</f>
        <v>1328.59</v>
      </c>
      <c r="E69" s="21"/>
      <c r="F69" s="16">
        <f>132.86+65.34</f>
        <v>198.20000000000002</v>
      </c>
      <c r="G69" s="21"/>
      <c r="H69" s="16">
        <f>104+244.6+55.75</f>
        <v>404.35</v>
      </c>
      <c r="I69" s="21">
        <f>61.5+181</f>
        <v>242.5</v>
      </c>
      <c r="J69" s="16">
        <f>670.12+81.33</f>
        <v>751.45</v>
      </c>
      <c r="K69" s="21">
        <v>270</v>
      </c>
      <c r="L69" s="21"/>
      <c r="M69" s="21"/>
      <c r="N69" s="26">
        <v>6100.18</v>
      </c>
      <c r="O69" s="22">
        <v>7000</v>
      </c>
    </row>
    <row r="70" spans="1:15" s="70" customFormat="1" x14ac:dyDescent="0.25">
      <c r="A70" s="81" t="s">
        <v>78</v>
      </c>
      <c r="B70" s="66"/>
      <c r="C70" s="66"/>
      <c r="D70" s="67"/>
      <c r="E70" s="66"/>
      <c r="F70" s="67"/>
      <c r="G70" s="66"/>
      <c r="H70" s="67"/>
      <c r="I70" s="66"/>
      <c r="J70" s="67"/>
      <c r="K70" s="66"/>
      <c r="L70" s="66"/>
      <c r="M70" s="66"/>
      <c r="N70" s="71">
        <v>0</v>
      </c>
      <c r="O70" s="69">
        <v>2000</v>
      </c>
    </row>
    <row r="71" spans="1:15" x14ac:dyDescent="0.25">
      <c r="A71" s="12" t="s">
        <v>79</v>
      </c>
      <c r="B71" s="21"/>
      <c r="C71" s="21"/>
      <c r="D71" s="16"/>
      <c r="E71" s="21"/>
      <c r="F71" s="16"/>
      <c r="G71" s="21"/>
      <c r="H71" s="16"/>
      <c r="I71" s="21"/>
      <c r="J71" s="16"/>
      <c r="K71" s="21"/>
      <c r="L71" s="21"/>
      <c r="M71" s="21"/>
      <c r="N71" s="26">
        <v>0</v>
      </c>
      <c r="O71" s="82">
        <v>750</v>
      </c>
    </row>
    <row r="72" spans="1:15" x14ac:dyDescent="0.25">
      <c r="A72" s="25" t="s">
        <v>80</v>
      </c>
      <c r="B72" s="21"/>
      <c r="C72" s="21"/>
      <c r="D72" s="16"/>
      <c r="E72" s="21">
        <f>106.29+390.35</f>
        <v>496.64000000000004</v>
      </c>
      <c r="F72" s="16">
        <f>55.79</f>
        <v>55.79</v>
      </c>
      <c r="G72" s="21"/>
      <c r="H72" s="16">
        <v>48.89</v>
      </c>
      <c r="I72" s="21">
        <f>44.69</f>
        <v>44.69</v>
      </c>
      <c r="J72" s="16">
        <f>28.7</f>
        <v>28.7</v>
      </c>
      <c r="K72" s="21"/>
      <c r="L72" s="21">
        <f>472</f>
        <v>472</v>
      </c>
      <c r="M72" s="21"/>
      <c r="N72" s="26">
        <v>1146.71</v>
      </c>
      <c r="O72" s="22">
        <v>1350</v>
      </c>
    </row>
    <row r="73" spans="1:15" x14ac:dyDescent="0.25">
      <c r="A73" s="25" t="s">
        <v>81</v>
      </c>
      <c r="B73" s="21"/>
      <c r="C73" s="21"/>
      <c r="D73" s="16">
        <v>235</v>
      </c>
      <c r="E73" s="21"/>
      <c r="F73" s="16"/>
      <c r="G73" s="21"/>
      <c r="H73" s="16"/>
      <c r="I73" s="21"/>
      <c r="J73" s="16"/>
      <c r="K73" s="21"/>
      <c r="L73" s="21">
        <f>267.7</f>
        <v>267.7</v>
      </c>
      <c r="M73" s="21"/>
      <c r="N73" s="26">
        <v>502.7</v>
      </c>
      <c r="O73" s="22">
        <v>300</v>
      </c>
    </row>
    <row r="74" spans="1:15" x14ac:dyDescent="0.25">
      <c r="A74" s="12" t="s">
        <v>82</v>
      </c>
      <c r="B74" s="21"/>
      <c r="C74" s="21"/>
      <c r="D74" s="16"/>
      <c r="E74" s="21"/>
      <c r="F74" s="16"/>
      <c r="G74" s="21"/>
      <c r="H74" s="16"/>
      <c r="I74" s="21"/>
      <c r="J74" s="16"/>
      <c r="K74" s="21"/>
      <c r="L74" s="21"/>
      <c r="M74" s="21"/>
      <c r="N74" s="26">
        <v>0</v>
      </c>
      <c r="O74" s="22">
        <v>75</v>
      </c>
    </row>
    <row r="75" spans="1:15" x14ac:dyDescent="0.25">
      <c r="A75" s="12" t="s">
        <v>83</v>
      </c>
      <c r="B75" s="21"/>
      <c r="C75" s="21"/>
      <c r="D75" s="16"/>
      <c r="E75" s="21">
        <f>109.9</f>
        <v>109.9</v>
      </c>
      <c r="F75" s="16">
        <f>100</f>
        <v>100</v>
      </c>
      <c r="G75" s="21"/>
      <c r="H75" s="16"/>
      <c r="I75" s="21">
        <f>25</f>
        <v>25</v>
      </c>
      <c r="J75" s="16"/>
      <c r="K75" s="21">
        <f>75</f>
        <v>75</v>
      </c>
      <c r="L75" s="21">
        <f>75+40.95+30</f>
        <v>145.94999999999999</v>
      </c>
      <c r="M75" s="21"/>
      <c r="N75" s="26">
        <v>455.84999999999997</v>
      </c>
      <c r="O75" s="22">
        <v>500</v>
      </c>
    </row>
    <row r="76" spans="1:15" x14ac:dyDescent="0.25">
      <c r="A76" s="12" t="s">
        <v>84</v>
      </c>
      <c r="B76" s="21"/>
      <c r="C76" s="21"/>
      <c r="D76" s="16"/>
      <c r="E76" s="21">
        <v>90</v>
      </c>
      <c r="F76" s="16"/>
      <c r="G76" s="21"/>
      <c r="H76" s="16">
        <f>50</f>
        <v>50</v>
      </c>
      <c r="I76" s="21"/>
      <c r="J76" s="16"/>
      <c r="K76" s="21"/>
      <c r="L76" s="21"/>
      <c r="M76" s="21"/>
      <c r="N76" s="26">
        <v>140</v>
      </c>
      <c r="O76" s="22">
        <v>140</v>
      </c>
    </row>
    <row r="77" spans="1:15" x14ac:dyDescent="0.25">
      <c r="A77" s="12" t="s">
        <v>85</v>
      </c>
      <c r="B77" s="21"/>
      <c r="C77" s="21"/>
      <c r="D77" s="16">
        <f>248.71+152.48+29.02+149.51+57.08+175.93</f>
        <v>812.73</v>
      </c>
      <c r="E77" s="21">
        <f>39+50.42+20.74+80.66+142.14</f>
        <v>332.96</v>
      </c>
      <c r="F77" s="16">
        <f>19.48+250+24.62+249.98+62.29</f>
        <v>606.37</v>
      </c>
      <c r="G77" s="45"/>
      <c r="H77" s="16">
        <f>22.52+94.49+74.87+61.03+53.75</f>
        <v>306.65999999999997</v>
      </c>
      <c r="I77" s="21">
        <f>30.24+14.24+27.14</f>
        <v>71.62</v>
      </c>
      <c r="J77" s="16">
        <f>28.45+41.08+32.64+81.92+177.64</f>
        <v>361.73</v>
      </c>
      <c r="K77" s="21">
        <f>39.99+48.89</f>
        <v>88.88</v>
      </c>
      <c r="L77" s="21">
        <f>70.29+248.68+250+35+176.67</f>
        <v>780.64</v>
      </c>
      <c r="M77" s="21"/>
      <c r="N77" s="26">
        <v>3361.5899999999997</v>
      </c>
      <c r="O77" s="22">
        <v>8250</v>
      </c>
    </row>
    <row r="78" spans="1:15" x14ac:dyDescent="0.25">
      <c r="A78" s="12" t="s">
        <v>86</v>
      </c>
      <c r="B78" s="21"/>
      <c r="C78" s="21"/>
      <c r="D78" s="16"/>
      <c r="E78" s="21"/>
      <c r="F78" s="16"/>
      <c r="G78" s="21"/>
      <c r="H78" s="16"/>
      <c r="I78" s="21"/>
      <c r="J78" s="16"/>
      <c r="K78" s="21">
        <f>100</f>
        <v>100</v>
      </c>
      <c r="L78" s="21" t="s">
        <v>87</v>
      </c>
      <c r="M78" s="21"/>
      <c r="N78" s="26">
        <v>100</v>
      </c>
      <c r="O78" s="22">
        <v>1000</v>
      </c>
    </row>
    <row r="79" spans="1:15" x14ac:dyDescent="0.25">
      <c r="A79" s="12" t="s">
        <v>88</v>
      </c>
      <c r="B79" s="21"/>
      <c r="C79" s="21"/>
      <c r="D79" s="16"/>
      <c r="E79" s="21"/>
      <c r="F79" s="16"/>
      <c r="G79" s="21">
        <f>34</f>
        <v>34</v>
      </c>
      <c r="H79" s="16"/>
      <c r="I79" s="21">
        <f>32</f>
        <v>32</v>
      </c>
      <c r="J79" s="16"/>
      <c r="K79" s="21"/>
      <c r="L79" s="21"/>
      <c r="M79" s="21"/>
      <c r="N79" s="26">
        <v>66</v>
      </c>
      <c r="O79" s="22">
        <v>150</v>
      </c>
    </row>
    <row r="80" spans="1:15" x14ac:dyDescent="0.25">
      <c r="A80" s="12"/>
      <c r="B80" s="21"/>
      <c r="C80" s="21"/>
      <c r="D80" s="16"/>
      <c r="E80" s="21"/>
      <c r="F80" s="16"/>
      <c r="G80" s="21"/>
      <c r="H80" s="16"/>
      <c r="I80" s="21"/>
      <c r="J80" s="16"/>
      <c r="K80" s="21"/>
      <c r="L80" s="21"/>
      <c r="M80" s="21"/>
      <c r="N80" s="26">
        <v>0</v>
      </c>
      <c r="O80" s="22"/>
    </row>
    <row r="81" spans="1:15" x14ac:dyDescent="0.25">
      <c r="A81" s="27" t="s">
        <v>89</v>
      </c>
      <c r="B81" s="28">
        <f t="shared" ref="B81:M81" si="2">SUM(B21:B38)+B48+SUM(B49:B80)</f>
        <v>0</v>
      </c>
      <c r="C81" s="28">
        <f t="shared" si="2"/>
        <v>2905.09</v>
      </c>
      <c r="D81" s="29">
        <f t="shared" si="2"/>
        <v>8002.3</v>
      </c>
      <c r="E81" s="28">
        <f t="shared" si="2"/>
        <v>2185.84</v>
      </c>
      <c r="F81" s="29">
        <f t="shared" si="2"/>
        <v>1713.44</v>
      </c>
      <c r="G81" s="28">
        <f t="shared" si="2"/>
        <v>1578.97</v>
      </c>
      <c r="H81" s="29">
        <f t="shared" si="2"/>
        <v>855.76</v>
      </c>
      <c r="I81" s="28">
        <f t="shared" si="2"/>
        <v>2022.6399999999999</v>
      </c>
      <c r="J81" s="29">
        <f t="shared" si="2"/>
        <v>1560.7800000000002</v>
      </c>
      <c r="K81" s="28">
        <f t="shared" si="2"/>
        <v>2012.0300000000002</v>
      </c>
      <c r="L81" s="28">
        <f t="shared" si="2"/>
        <v>3861.09</v>
      </c>
      <c r="M81" s="28">
        <f t="shared" si="2"/>
        <v>0</v>
      </c>
      <c r="N81" s="30">
        <f>SUBTOTAL(9,N20:N80)</f>
        <v>26697.939999999995</v>
      </c>
      <c r="O81" s="31">
        <f>SUBTOTAL(9,O20:O80)</f>
        <v>63155</v>
      </c>
    </row>
    <row r="82" spans="1:15" x14ac:dyDescent="0.25">
      <c r="A82" s="50" t="s">
        <v>90</v>
      </c>
      <c r="B82" s="51">
        <f t="shared" ref="B82:O82" si="3">B19-B81</f>
        <v>0</v>
      </c>
      <c r="C82" s="51">
        <f t="shared" si="3"/>
        <v>-2905.09</v>
      </c>
      <c r="D82" s="52">
        <f t="shared" si="3"/>
        <v>-374.21000000000004</v>
      </c>
      <c r="E82" s="51">
        <f t="shared" si="3"/>
        <v>3106.9300000000003</v>
      </c>
      <c r="F82" s="52">
        <f t="shared" si="3"/>
        <v>24191.409999999996</v>
      </c>
      <c r="G82" s="51">
        <f t="shared" si="3"/>
        <v>-808.32</v>
      </c>
      <c r="H82" s="52">
        <f t="shared" si="3"/>
        <v>2103.09</v>
      </c>
      <c r="I82" s="51">
        <f t="shared" si="3"/>
        <v>-1597.1799999999998</v>
      </c>
      <c r="J82" s="52">
        <f t="shared" si="3"/>
        <v>-904.0300000000002</v>
      </c>
      <c r="K82" s="51">
        <f t="shared" si="3"/>
        <v>-2012.0300000000002</v>
      </c>
      <c r="L82" s="51">
        <f t="shared" si="3"/>
        <v>-715.54</v>
      </c>
      <c r="M82" s="51">
        <f t="shared" si="3"/>
        <v>0</v>
      </c>
      <c r="N82" s="53">
        <f t="shared" si="3"/>
        <v>20085.03</v>
      </c>
      <c r="O82" s="54">
        <f t="shared" si="3"/>
        <v>-17355</v>
      </c>
    </row>
    <row r="83" spans="1:15" x14ac:dyDescent="0.25">
      <c r="A83" s="43" t="s">
        <v>91</v>
      </c>
      <c r="B83" s="46"/>
      <c r="C83" s="46"/>
      <c r="D83" s="24"/>
      <c r="E83" s="46"/>
      <c r="F83" s="24"/>
      <c r="G83" s="46"/>
      <c r="H83" s="24"/>
      <c r="I83" s="46"/>
      <c r="J83" s="24"/>
      <c r="K83" s="46"/>
      <c r="L83" s="46"/>
      <c r="M83" s="46"/>
      <c r="N83" s="33"/>
      <c r="O83" s="34"/>
    </row>
    <row r="84" spans="1:15" x14ac:dyDescent="0.25">
      <c r="A84" s="12" t="s">
        <v>92</v>
      </c>
      <c r="B84" s="21">
        <f>0.59+0.55</f>
        <v>1.1400000000000001</v>
      </c>
      <c r="C84" s="21">
        <f>0.54+0.55</f>
        <v>1.0900000000000001</v>
      </c>
      <c r="D84" s="16">
        <f>0.5+0.53</f>
        <v>1.03</v>
      </c>
      <c r="E84" s="21">
        <f>0.45+0.55</f>
        <v>1</v>
      </c>
      <c r="F84" s="16">
        <f>1.43+1.06</f>
        <v>2.4900000000000002</v>
      </c>
      <c r="G84" s="21">
        <f>1.52+1.1</f>
        <v>2.62</v>
      </c>
      <c r="H84" s="16"/>
      <c r="I84" s="21"/>
      <c r="J84" s="16"/>
      <c r="K84" s="21"/>
      <c r="L84" s="21"/>
      <c r="M84" s="21"/>
      <c r="N84" s="26">
        <f>SUM(B84:M84)</f>
        <v>9.370000000000001</v>
      </c>
      <c r="O84" s="22">
        <v>10</v>
      </c>
    </row>
    <row r="85" spans="1:15" x14ac:dyDescent="0.25">
      <c r="A85" s="55" t="s">
        <v>93</v>
      </c>
      <c r="B85" s="21">
        <f>0.22+0.22+0.12</f>
        <v>0.56000000000000005</v>
      </c>
      <c r="C85" s="21"/>
      <c r="D85" s="16"/>
      <c r="E85" s="21"/>
      <c r="F85" s="16"/>
      <c r="G85" s="21"/>
      <c r="H85" s="16"/>
      <c r="I85" s="21"/>
      <c r="J85" s="16"/>
      <c r="K85" s="21"/>
      <c r="L85" s="21"/>
      <c r="M85" s="21"/>
      <c r="N85" s="26">
        <f>SUM(B85:M85)</f>
        <v>0.56000000000000005</v>
      </c>
      <c r="O85" s="22">
        <v>100</v>
      </c>
    </row>
    <row r="86" spans="1:15" x14ac:dyDescent="0.25">
      <c r="A86" s="56" t="s">
        <v>94</v>
      </c>
      <c r="B86" s="57">
        <f>SUM(B84:B85)</f>
        <v>1.7000000000000002</v>
      </c>
      <c r="C86" s="57">
        <f>SUM(C84:C85)</f>
        <v>1.0900000000000001</v>
      </c>
      <c r="D86" s="58">
        <f t="shared" ref="D86:M86" si="4">SUM(D84:D85)</f>
        <v>1.03</v>
      </c>
      <c r="E86" s="57">
        <f t="shared" si="4"/>
        <v>1</v>
      </c>
      <c r="F86" s="58">
        <f t="shared" si="4"/>
        <v>2.4900000000000002</v>
      </c>
      <c r="G86" s="57">
        <f t="shared" si="4"/>
        <v>2.62</v>
      </c>
      <c r="H86" s="58">
        <f t="shared" si="4"/>
        <v>0</v>
      </c>
      <c r="I86" s="57">
        <f t="shared" si="4"/>
        <v>0</v>
      </c>
      <c r="J86" s="58">
        <f>SUM(J84:J85)</f>
        <v>0</v>
      </c>
      <c r="K86" s="57">
        <f t="shared" si="4"/>
        <v>0</v>
      </c>
      <c r="L86" s="57">
        <f t="shared" si="4"/>
        <v>0</v>
      </c>
      <c r="M86" s="57">
        <f t="shared" si="4"/>
        <v>0</v>
      </c>
      <c r="N86" s="59">
        <f>SUM(N84:N85)</f>
        <v>9.9300000000000015</v>
      </c>
      <c r="O86" s="60">
        <f>SUM(O84:O85)</f>
        <v>110</v>
      </c>
    </row>
    <row r="87" spans="1:15" x14ac:dyDescent="0.25">
      <c r="A87" s="56" t="s">
        <v>95</v>
      </c>
      <c r="B87" s="57">
        <f>(B86)-(0)</f>
        <v>1.7000000000000002</v>
      </c>
      <c r="C87" s="57">
        <f t="shared" ref="C87:O87" si="5">(C86)-(0)</f>
        <v>1.0900000000000001</v>
      </c>
      <c r="D87" s="58">
        <f t="shared" si="5"/>
        <v>1.03</v>
      </c>
      <c r="E87" s="57">
        <f t="shared" si="5"/>
        <v>1</v>
      </c>
      <c r="F87" s="58">
        <f t="shared" si="5"/>
        <v>2.4900000000000002</v>
      </c>
      <c r="G87" s="57">
        <f t="shared" si="5"/>
        <v>2.62</v>
      </c>
      <c r="H87" s="58">
        <f t="shared" si="5"/>
        <v>0</v>
      </c>
      <c r="I87" s="57">
        <f t="shared" si="5"/>
        <v>0</v>
      </c>
      <c r="J87" s="58">
        <f>(J86)-(0)</f>
        <v>0</v>
      </c>
      <c r="K87" s="57">
        <f t="shared" si="5"/>
        <v>0</v>
      </c>
      <c r="L87" s="57">
        <f t="shared" si="5"/>
        <v>0</v>
      </c>
      <c r="M87" s="57">
        <f t="shared" si="5"/>
        <v>0</v>
      </c>
      <c r="N87" s="59">
        <f>SUM(B87:M87)</f>
        <v>9.93</v>
      </c>
      <c r="O87" s="60">
        <f t="shared" si="5"/>
        <v>110</v>
      </c>
    </row>
    <row r="88" spans="1:15" ht="15.75" thickBot="1" x14ac:dyDescent="0.3">
      <c r="A88" s="27" t="s">
        <v>96</v>
      </c>
      <c r="B88" s="61">
        <f>(B82)+(B87)</f>
        <v>1.7000000000000002</v>
      </c>
      <c r="C88" s="61">
        <f>(C82)+(C87)</f>
        <v>-2904</v>
      </c>
      <c r="D88" s="62">
        <f t="shared" ref="D88:M88" si="6">(D82)+(D87)</f>
        <v>-373.18000000000006</v>
      </c>
      <c r="E88" s="61">
        <f t="shared" si="6"/>
        <v>3107.9300000000003</v>
      </c>
      <c r="F88" s="62">
        <f t="shared" si="6"/>
        <v>24193.899999999998</v>
      </c>
      <c r="G88" s="61">
        <f t="shared" si="6"/>
        <v>-805.7</v>
      </c>
      <c r="H88" s="62">
        <f t="shared" si="6"/>
        <v>2103.09</v>
      </c>
      <c r="I88" s="61">
        <f t="shared" si="6"/>
        <v>-1597.1799999999998</v>
      </c>
      <c r="J88" s="62">
        <f>(J82)+(J87)</f>
        <v>-904.0300000000002</v>
      </c>
      <c r="K88" s="61">
        <f t="shared" si="6"/>
        <v>-2012.0300000000002</v>
      </c>
      <c r="L88" s="61">
        <f>(L82)+(L87)</f>
        <v>-715.54</v>
      </c>
      <c r="M88" s="61">
        <f t="shared" si="6"/>
        <v>0</v>
      </c>
      <c r="N88" s="63">
        <f>(N82)+(N87)</f>
        <v>20094.96</v>
      </c>
      <c r="O88" s="64">
        <f>(O82)+(O87)</f>
        <v>-17245</v>
      </c>
    </row>
    <row r="89" spans="1:15" ht="15.75" thickTop="1" x14ac:dyDescent="0.25"/>
  </sheetData>
  <pageMargins left="0.7" right="0.7" top="0.75" bottom="0.75" header="0.3" footer="0.3"/>
  <pageSetup orientation="portrait" horizontalDpi="300" verticalDpi="30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DB860-99A1-44A3-9804-DC20A527292F}">
  <dimension ref="A3:E40"/>
  <sheetViews>
    <sheetView topLeftCell="A7" workbookViewId="0">
      <selection activeCell="A19" sqref="A19"/>
    </sheetView>
  </sheetViews>
  <sheetFormatPr defaultRowHeight="15" x14ac:dyDescent="0.25"/>
  <cols>
    <col min="1" max="1" width="18.28515625" bestFit="1" customWidth="1"/>
    <col min="2" max="2" width="15.140625" bestFit="1" customWidth="1"/>
  </cols>
  <sheetData>
    <row r="3" spans="1:5" x14ac:dyDescent="0.25">
      <c r="A3" s="87" t="s">
        <v>137</v>
      </c>
      <c r="B3" s="87" t="s">
        <v>138</v>
      </c>
      <c r="C3" s="85">
        <v>250</v>
      </c>
      <c r="D3" s="85"/>
      <c r="E3" s="86"/>
    </row>
    <row r="4" spans="1:5" x14ac:dyDescent="0.25">
      <c r="A4" s="87" t="s">
        <v>126</v>
      </c>
      <c r="B4" s="87" t="s">
        <v>127</v>
      </c>
      <c r="C4" s="85">
        <v>250</v>
      </c>
      <c r="D4" s="85"/>
      <c r="E4" s="86"/>
    </row>
    <row r="5" spans="1:5" x14ac:dyDescent="0.25">
      <c r="A5" s="87" t="s">
        <v>126</v>
      </c>
      <c r="B5" s="87" t="s">
        <v>149</v>
      </c>
      <c r="C5" s="85">
        <v>250</v>
      </c>
      <c r="D5" s="85"/>
      <c r="E5" s="86"/>
    </row>
    <row r="6" spans="1:5" x14ac:dyDescent="0.25">
      <c r="A6" s="87" t="s">
        <v>126</v>
      </c>
      <c r="B6" s="87" t="s">
        <v>128</v>
      </c>
      <c r="C6" s="85">
        <v>250</v>
      </c>
      <c r="D6" s="85"/>
      <c r="E6" s="86"/>
    </row>
    <row r="7" spans="1:5" x14ac:dyDescent="0.25">
      <c r="A7" s="87" t="s">
        <v>99</v>
      </c>
      <c r="B7" s="87" t="s">
        <v>100</v>
      </c>
      <c r="C7" s="85">
        <v>250</v>
      </c>
      <c r="D7" s="85"/>
      <c r="E7" s="86"/>
    </row>
    <row r="8" spans="1:5" x14ac:dyDescent="0.25">
      <c r="A8" s="87" t="s">
        <v>99</v>
      </c>
      <c r="B8" s="87" t="s">
        <v>101</v>
      </c>
      <c r="C8" s="85">
        <v>250</v>
      </c>
      <c r="D8" s="85"/>
      <c r="E8" s="86"/>
    </row>
    <row r="9" spans="1:5" x14ac:dyDescent="0.25">
      <c r="A9" s="87" t="s">
        <v>99</v>
      </c>
      <c r="B9" s="87" t="s">
        <v>102</v>
      </c>
      <c r="C9" s="85">
        <v>250</v>
      </c>
      <c r="D9" s="85"/>
      <c r="E9" s="86"/>
    </row>
    <row r="10" spans="1:5" x14ac:dyDescent="0.25">
      <c r="A10" s="87" t="s">
        <v>103</v>
      </c>
      <c r="B10" s="87" t="s">
        <v>104</v>
      </c>
      <c r="C10" s="85">
        <v>250</v>
      </c>
      <c r="D10" s="85"/>
      <c r="E10" s="86"/>
    </row>
    <row r="11" spans="1:5" x14ac:dyDescent="0.25">
      <c r="A11" s="87" t="s">
        <v>103</v>
      </c>
      <c r="B11" s="87" t="s">
        <v>105</v>
      </c>
      <c r="C11" s="85">
        <v>250</v>
      </c>
      <c r="D11" s="85"/>
      <c r="E11" s="86"/>
    </row>
    <row r="12" spans="1:5" x14ac:dyDescent="0.25">
      <c r="A12" s="87" t="s">
        <v>103</v>
      </c>
      <c r="B12" s="87" t="s">
        <v>106</v>
      </c>
      <c r="C12" s="85">
        <v>250</v>
      </c>
      <c r="D12" s="85"/>
      <c r="E12" s="86"/>
    </row>
    <row r="13" spans="1:5" x14ac:dyDescent="0.25">
      <c r="A13" s="87" t="s">
        <v>107</v>
      </c>
      <c r="B13" s="87" t="s">
        <v>108</v>
      </c>
      <c r="C13" s="85">
        <v>250</v>
      </c>
      <c r="D13" s="85"/>
      <c r="E13" s="86"/>
    </row>
    <row r="14" spans="1:5" x14ac:dyDescent="0.25">
      <c r="A14" s="87" t="s">
        <v>107</v>
      </c>
      <c r="B14" s="87" t="s">
        <v>109</v>
      </c>
      <c r="C14" s="85">
        <v>250</v>
      </c>
      <c r="D14" s="85"/>
      <c r="E14" s="86"/>
    </row>
    <row r="15" spans="1:5" x14ac:dyDescent="0.25">
      <c r="A15" s="87" t="s">
        <v>110</v>
      </c>
      <c r="B15" s="87" t="s">
        <v>111</v>
      </c>
      <c r="C15" s="85">
        <v>250</v>
      </c>
      <c r="D15" s="85"/>
      <c r="E15" s="86"/>
    </row>
    <row r="16" spans="1:5" x14ac:dyDescent="0.25">
      <c r="A16" s="87" t="s">
        <v>110</v>
      </c>
      <c r="B16" s="87" t="s">
        <v>112</v>
      </c>
      <c r="C16" s="85">
        <v>250</v>
      </c>
      <c r="D16" s="85"/>
      <c r="E16" s="86"/>
    </row>
    <row r="17" spans="1:5" x14ac:dyDescent="0.25">
      <c r="A17" s="87" t="s">
        <v>110</v>
      </c>
      <c r="B17" s="87" t="s">
        <v>113</v>
      </c>
      <c r="C17" s="85">
        <v>250</v>
      </c>
      <c r="D17" s="85"/>
      <c r="E17" s="86"/>
    </row>
    <row r="18" spans="1:5" x14ac:dyDescent="0.25">
      <c r="A18" s="87" t="s">
        <v>114</v>
      </c>
      <c r="B18" s="87" t="s">
        <v>115</v>
      </c>
      <c r="C18" s="85">
        <v>250</v>
      </c>
      <c r="D18" s="85"/>
      <c r="E18" s="86"/>
    </row>
    <row r="19" spans="1:5" x14ac:dyDescent="0.25">
      <c r="A19" s="87" t="s">
        <v>114</v>
      </c>
      <c r="B19" s="87" t="s">
        <v>116</v>
      </c>
      <c r="C19" s="85">
        <v>250</v>
      </c>
      <c r="D19" s="85"/>
      <c r="E19" s="86"/>
    </row>
    <row r="20" spans="1:5" x14ac:dyDescent="0.25">
      <c r="A20" s="87" t="s">
        <v>117</v>
      </c>
      <c r="B20" s="87" t="s">
        <v>118</v>
      </c>
      <c r="C20" s="85">
        <v>250</v>
      </c>
      <c r="D20" s="85"/>
      <c r="E20" s="86"/>
    </row>
    <row r="21" spans="1:5" x14ac:dyDescent="0.25">
      <c r="A21" s="87" t="s">
        <v>117</v>
      </c>
      <c r="B21" s="87" t="s">
        <v>119</v>
      </c>
      <c r="C21" s="85">
        <v>250</v>
      </c>
      <c r="D21" s="85"/>
      <c r="E21" s="86"/>
    </row>
    <row r="22" spans="1:5" x14ac:dyDescent="0.25">
      <c r="A22" s="87" t="s">
        <v>121</v>
      </c>
      <c r="B22" s="87" t="s">
        <v>122</v>
      </c>
      <c r="C22" s="85">
        <v>250</v>
      </c>
      <c r="D22" s="85"/>
      <c r="E22" s="86"/>
    </row>
    <row r="23" spans="1:5" x14ac:dyDescent="0.25">
      <c r="A23" s="87" t="s">
        <v>123</v>
      </c>
      <c r="B23" s="87" t="s">
        <v>124</v>
      </c>
      <c r="C23" s="85">
        <v>250</v>
      </c>
      <c r="D23" s="85"/>
      <c r="E23" s="86"/>
    </row>
    <row r="24" spans="1:5" x14ac:dyDescent="0.25">
      <c r="A24" s="87" t="s">
        <v>123</v>
      </c>
      <c r="B24" s="87" t="s">
        <v>125</v>
      </c>
      <c r="C24" s="85">
        <v>250</v>
      </c>
      <c r="D24" s="85"/>
      <c r="E24" s="86"/>
    </row>
    <row r="25" spans="1:5" x14ac:dyDescent="0.25">
      <c r="A25" s="87" t="s">
        <v>129</v>
      </c>
      <c r="B25" s="87" t="s">
        <v>130</v>
      </c>
      <c r="C25" s="85">
        <v>250</v>
      </c>
      <c r="D25" s="85"/>
      <c r="E25" s="86"/>
    </row>
    <row r="26" spans="1:5" x14ac:dyDescent="0.25">
      <c r="A26" s="87" t="s">
        <v>132</v>
      </c>
      <c r="B26" s="87" t="s">
        <v>133</v>
      </c>
      <c r="C26" s="85">
        <v>250</v>
      </c>
      <c r="D26" s="85"/>
      <c r="E26" s="86"/>
    </row>
    <row r="27" spans="1:5" x14ac:dyDescent="0.25">
      <c r="A27" s="87" t="s">
        <v>134</v>
      </c>
      <c r="B27" s="87" t="s">
        <v>152</v>
      </c>
      <c r="C27" s="85">
        <v>250</v>
      </c>
      <c r="D27" s="85"/>
      <c r="E27" s="86"/>
    </row>
    <row r="28" spans="1:5" x14ac:dyDescent="0.25">
      <c r="A28" s="87" t="s">
        <v>135</v>
      </c>
      <c r="B28" s="87" t="s">
        <v>136</v>
      </c>
      <c r="C28" s="85">
        <v>250</v>
      </c>
      <c r="D28" s="85"/>
      <c r="E28" s="86"/>
    </row>
    <row r="29" spans="1:5" x14ac:dyDescent="0.25">
      <c r="A29" s="87" t="s">
        <v>141</v>
      </c>
      <c r="B29" s="87" t="s">
        <v>142</v>
      </c>
      <c r="C29" s="85">
        <v>250</v>
      </c>
      <c r="D29" s="85"/>
      <c r="E29" s="86"/>
    </row>
    <row r="30" spans="1:5" x14ac:dyDescent="0.25">
      <c r="A30" s="87" t="s">
        <v>145</v>
      </c>
      <c r="B30" s="87" t="s">
        <v>146</v>
      </c>
      <c r="C30" s="85">
        <v>250</v>
      </c>
      <c r="D30" s="85"/>
      <c r="E30" s="86"/>
    </row>
    <row r="31" spans="1:5" x14ac:dyDescent="0.25">
      <c r="A31" s="87" t="s">
        <v>147</v>
      </c>
      <c r="B31" s="87" t="s">
        <v>148</v>
      </c>
      <c r="C31" s="85">
        <v>500</v>
      </c>
      <c r="D31" s="85"/>
      <c r="E31" s="86"/>
    </row>
    <row r="32" spans="1:5" x14ac:dyDescent="0.25">
      <c r="A32" s="84" t="s">
        <v>117</v>
      </c>
      <c r="B32" s="84" t="s">
        <v>120</v>
      </c>
      <c r="C32" s="85">
        <v>250</v>
      </c>
      <c r="D32" s="85"/>
      <c r="E32" s="86"/>
    </row>
    <row r="33" spans="1:5" x14ac:dyDescent="0.25">
      <c r="A33" s="84" t="s">
        <v>129</v>
      </c>
      <c r="B33" s="84" t="s">
        <v>131</v>
      </c>
      <c r="C33" s="85">
        <v>250</v>
      </c>
      <c r="D33" s="85"/>
      <c r="E33" s="86"/>
    </row>
    <row r="34" spans="1:5" x14ac:dyDescent="0.25">
      <c r="A34" s="84" t="s">
        <v>139</v>
      </c>
      <c r="B34" s="84" t="s">
        <v>140</v>
      </c>
      <c r="C34" s="85">
        <v>250</v>
      </c>
      <c r="D34" s="85"/>
      <c r="E34" s="86"/>
    </row>
    <row r="35" spans="1:5" x14ac:dyDescent="0.25">
      <c r="A35" s="84" t="s">
        <v>143</v>
      </c>
      <c r="B35" s="84" t="s">
        <v>144</v>
      </c>
      <c r="C35" s="85">
        <v>250</v>
      </c>
      <c r="D35" s="85"/>
      <c r="E35" s="86"/>
    </row>
    <row r="36" spans="1:5" x14ac:dyDescent="0.25">
      <c r="C36" s="88"/>
      <c r="D36" s="88"/>
      <c r="E36" s="89"/>
    </row>
    <row r="37" spans="1:5" x14ac:dyDescent="0.25">
      <c r="A37" t="s">
        <v>151</v>
      </c>
      <c r="B37" t="s">
        <v>150</v>
      </c>
      <c r="C37" t="s">
        <v>153</v>
      </c>
    </row>
    <row r="40" spans="1:5" x14ac:dyDescent="0.25">
      <c r="C40">
        <f>SUM(C3:C38)</f>
        <v>8500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23 23 Proposed</vt:lpstr>
      <vt:lpstr>P&amp;L Summary to Date</vt:lpstr>
      <vt:lpstr>Current Monthly P&amp;L </vt:lpstr>
      <vt:lpstr>P&amp;L Past Yrs</vt:lpstr>
      <vt:lpstr>Income</vt:lpstr>
      <vt:lpstr>Expenses</vt: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blair hamilton</dc:creator>
  <cp:lastModifiedBy>blair hamilton</cp:lastModifiedBy>
  <cp:lastPrinted>2023-05-09T22:29:51Z</cp:lastPrinted>
  <dcterms:created xsi:type="dcterms:W3CDTF">2023-05-04T23:07:26Z</dcterms:created>
  <dcterms:modified xsi:type="dcterms:W3CDTF">2023-05-15T23:18:51Z</dcterms:modified>
</cp:coreProperties>
</file>