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emilyd\Dropbox\PTO\Budgets\2024-2025 Budget\M12 June 2025\"/>
    </mc:Choice>
  </mc:AlternateContent>
  <xr:revisionPtr revIDLastSave="0" documentId="13_ncr:1_{B32188A9-EB81-47EA-B98B-6C6E9F21105C}" xr6:coauthVersionLast="47" xr6:coauthVersionMax="47" xr10:uidLastSave="{00000000-0000-0000-0000-000000000000}"/>
  <bookViews>
    <workbookView xWindow="28680" yWindow="-120" windowWidth="29040" windowHeight="15840" xr2:uid="{F2CC5D1E-56CE-4C3A-8D74-32267FB862F4}"/>
  </bookViews>
  <sheets>
    <sheet name="24 25 Spending" sheetId="1" r:id="rId1"/>
    <sheet name="Teacher Spending" sheetId="2" r:id="rId2"/>
    <sheet name="Profit and Loss" sheetId="3" r:id="rId3"/>
  </sheets>
  <definedNames>
    <definedName name="_xlnm.Print_Area" localSheetId="0">'24 25 Spending'!$A$1:$Q$78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5" i="1" l="1"/>
  <c r="M48" i="1"/>
  <c r="M17" i="1"/>
  <c r="M25" i="1"/>
  <c r="E31" i="2"/>
  <c r="M58" i="1"/>
  <c r="M37" i="1"/>
  <c r="E16" i="2"/>
  <c r="G14" i="2"/>
  <c r="G13" i="2"/>
  <c r="M3" i="1"/>
  <c r="G8" i="2"/>
  <c r="G9" i="2"/>
  <c r="G16" i="2"/>
  <c r="G15" i="2"/>
  <c r="G17" i="2"/>
  <c r="E14" i="2"/>
  <c r="E24" i="2"/>
  <c r="E29" i="2"/>
  <c r="E20" i="2"/>
  <c r="E15" i="2"/>
  <c r="E25" i="2"/>
  <c r="L66" i="1"/>
  <c r="L65" i="1"/>
  <c r="C61" i="3" l="1"/>
  <c r="C48" i="3"/>
  <c r="D48" i="3" s="1"/>
  <c r="C27" i="3"/>
  <c r="C20" i="3"/>
  <c r="D18" i="3"/>
  <c r="C18" i="3"/>
  <c r="C16" i="3"/>
  <c r="D14" i="3"/>
  <c r="C14" i="3"/>
  <c r="D12" i="3"/>
  <c r="C12" i="3"/>
  <c r="C11" i="3"/>
  <c r="C9" i="3"/>
  <c r="D9" i="3" s="1"/>
  <c r="B73" i="3"/>
  <c r="B75" i="3" s="1"/>
  <c r="B62" i="3"/>
  <c r="B47" i="3"/>
  <c r="B68" i="3" s="1"/>
  <c r="B22" i="3"/>
  <c r="B24" i="3" s="1"/>
  <c r="B69" i="3" s="1"/>
  <c r="B76" i="3" s="1"/>
  <c r="B19" i="3"/>
  <c r="L58" i="1" l="1"/>
  <c r="E18" i="2"/>
  <c r="E27" i="2"/>
  <c r="L4" i="1"/>
  <c r="L37" i="1"/>
  <c r="L3" i="1"/>
  <c r="L55" i="1"/>
  <c r="L13" i="1"/>
  <c r="L28" i="1"/>
  <c r="L41" i="1"/>
  <c r="L25" i="1"/>
  <c r="L27" i="1"/>
  <c r="L10" i="1"/>
  <c r="E17" i="2"/>
  <c r="L56" i="1"/>
  <c r="L22" i="1"/>
  <c r="L17" i="1"/>
  <c r="L59" i="1"/>
  <c r="K66" i="1"/>
  <c r="K65" i="1"/>
  <c r="E34" i="2"/>
  <c r="K3" i="1"/>
  <c r="K13" i="1"/>
  <c r="K58" i="1"/>
  <c r="K52" i="1"/>
  <c r="K36" i="1"/>
  <c r="K55" i="1"/>
  <c r="K59" i="1"/>
  <c r="E35" i="2"/>
  <c r="E28" i="2"/>
  <c r="P12" i="1"/>
  <c r="P9" i="1"/>
  <c r="P7" i="1"/>
  <c r="K43" i="1"/>
  <c r="J66" i="1"/>
  <c r="J65" i="1"/>
  <c r="D16" i="3"/>
  <c r="D11" i="3"/>
  <c r="D19" i="3"/>
  <c r="C19" i="3"/>
  <c r="J58" i="1"/>
  <c r="E32" i="2"/>
  <c r="E22" i="2"/>
  <c r="J55" i="1"/>
  <c r="J38" i="1"/>
  <c r="J59" i="1" l="1"/>
  <c r="J3" i="1"/>
  <c r="N44" i="1"/>
  <c r="Q44" i="1" s="1"/>
  <c r="N43" i="1"/>
  <c r="Q43" i="1" s="1"/>
  <c r="G19" i="2"/>
  <c r="J25" i="1"/>
  <c r="G6" i="2"/>
  <c r="J8" i="1" l="1"/>
  <c r="J47" i="1"/>
  <c r="I65" i="1"/>
  <c r="I66" i="1"/>
  <c r="I9" i="1"/>
  <c r="I58" i="1"/>
  <c r="I8" i="1"/>
  <c r="I55" i="1"/>
  <c r="H66" i="1"/>
  <c r="H65" i="1"/>
  <c r="H56" i="1"/>
  <c r="H52" i="1"/>
  <c r="H55" i="1"/>
  <c r="G65" i="1"/>
  <c r="G66" i="1"/>
  <c r="G55" i="1"/>
  <c r="G58" i="1"/>
  <c r="G10" i="1"/>
  <c r="G22" i="1"/>
  <c r="G56" i="1"/>
  <c r="F4" i="1"/>
  <c r="F65" i="1" l="1"/>
  <c r="F66" i="1"/>
  <c r="E7" i="1"/>
  <c r="F58" i="1"/>
  <c r="F55" i="1"/>
  <c r="F25" i="1"/>
  <c r="F7" i="1"/>
  <c r="F24" i="1"/>
  <c r="F41" i="1"/>
  <c r="F52" i="1"/>
  <c r="E65" i="1" l="1"/>
  <c r="E66" i="1"/>
  <c r="E58" i="1"/>
  <c r="E55" i="1"/>
  <c r="E41" i="1"/>
  <c r="D66" i="1"/>
  <c r="C66" i="1"/>
  <c r="B66" i="1"/>
  <c r="D65" i="1"/>
  <c r="C65" i="1"/>
  <c r="B65" i="1"/>
  <c r="E30" i="1"/>
  <c r="D58" i="1"/>
  <c r="C58" i="1"/>
  <c r="C52" i="1"/>
  <c r="D37" i="2" l="1"/>
  <c r="F20" i="2"/>
  <c r="H20" i="2"/>
  <c r="C11" i="1"/>
  <c r="F5" i="2"/>
  <c r="F6" i="2"/>
  <c r="F7" i="2"/>
  <c r="F8" i="2"/>
  <c r="F9" i="2"/>
  <c r="F10" i="2"/>
  <c r="F11" i="2"/>
  <c r="F12" i="2"/>
  <c r="F13" i="2"/>
  <c r="F14" i="2"/>
  <c r="F15" i="2"/>
  <c r="F16" i="2"/>
  <c r="F17" i="2"/>
  <c r="F18" i="2"/>
  <c r="F19" i="2"/>
  <c r="F21" i="2"/>
  <c r="F22" i="2"/>
  <c r="F23" i="2"/>
  <c r="F24" i="2"/>
  <c r="F25" i="2"/>
  <c r="F26" i="2"/>
  <c r="F27" i="2"/>
  <c r="F28" i="2"/>
  <c r="F29" i="2"/>
  <c r="F31" i="2"/>
  <c r="F32" i="2"/>
  <c r="F33" i="2"/>
  <c r="F34" i="2"/>
  <c r="F35" i="2"/>
  <c r="F4" i="2"/>
  <c r="H16" i="2" l="1"/>
  <c r="H6" i="2"/>
  <c r="Q45" i="1"/>
  <c r="I37" i="2"/>
  <c r="H19" i="2"/>
  <c r="H18" i="2"/>
  <c r="H17" i="2"/>
  <c r="H15" i="2"/>
  <c r="H14" i="2"/>
  <c r="H13" i="2"/>
  <c r="H12" i="2"/>
  <c r="H11" i="2"/>
  <c r="H10" i="2"/>
  <c r="H9" i="2"/>
  <c r="H8" i="2"/>
  <c r="H7" i="2"/>
  <c r="H5" i="2"/>
  <c r="G37" i="2"/>
  <c r="B76" i="1"/>
  <c r="O67" i="1"/>
  <c r="C62" i="1"/>
  <c r="B62" i="1"/>
  <c r="N59" i="1"/>
  <c r="Q59" i="1" s="1"/>
  <c r="N57" i="1"/>
  <c r="Q57" i="1" s="1"/>
  <c r="N56" i="1"/>
  <c r="Q56" i="1" s="1"/>
  <c r="N51" i="1"/>
  <c r="Q51" i="1" s="1"/>
  <c r="N50" i="1"/>
  <c r="Q50" i="1" s="1"/>
  <c r="N49" i="1"/>
  <c r="Q49" i="1" s="1"/>
  <c r="N48" i="1"/>
  <c r="Q48" i="1" s="1"/>
  <c r="N47" i="1"/>
  <c r="Q47" i="1" s="1"/>
  <c r="N46" i="1"/>
  <c r="Q46" i="1" s="1"/>
  <c r="N45" i="1"/>
  <c r="N42" i="1"/>
  <c r="Q42" i="1" s="1"/>
  <c r="N41" i="1"/>
  <c r="Q41" i="1" s="1"/>
  <c r="N40" i="1"/>
  <c r="Q40" i="1" s="1"/>
  <c r="N39" i="1"/>
  <c r="Q39" i="1" s="1"/>
  <c r="N38" i="1"/>
  <c r="Q38" i="1" s="1"/>
  <c r="N37" i="1"/>
  <c r="Q37" i="1" s="1"/>
  <c r="N36" i="1"/>
  <c r="Q36" i="1" s="1"/>
  <c r="N33" i="1"/>
  <c r="Q33" i="1" s="1"/>
  <c r="N31" i="1"/>
  <c r="Q31" i="1" s="1"/>
  <c r="N29" i="1"/>
  <c r="Q29" i="1" s="1"/>
  <c r="N28" i="1"/>
  <c r="Q28" i="1" s="1"/>
  <c r="N26" i="1"/>
  <c r="Q26" i="1" s="1"/>
  <c r="O25" i="1"/>
  <c r="O62" i="1" s="1"/>
  <c r="N24" i="1"/>
  <c r="Q24" i="1" s="1"/>
  <c r="N23" i="1"/>
  <c r="Q23" i="1" s="1"/>
  <c r="N21" i="1"/>
  <c r="Q21" i="1" s="1"/>
  <c r="N20" i="1"/>
  <c r="Q20" i="1" s="1"/>
  <c r="N19" i="1"/>
  <c r="Q19" i="1" s="1"/>
  <c r="J62" i="1"/>
  <c r="O15" i="1"/>
  <c r="M15" i="1"/>
  <c r="D15" i="1"/>
  <c r="C15" i="1"/>
  <c r="B15" i="1"/>
  <c r="N13" i="1"/>
  <c r="C21" i="3" s="1"/>
  <c r="N12" i="1"/>
  <c r="N11" i="1"/>
  <c r="N9" i="1"/>
  <c r="H15" i="1"/>
  <c r="I15" i="1"/>
  <c r="G15" i="1"/>
  <c r="N6" i="1"/>
  <c r="N5" i="1"/>
  <c r="C10" i="3" s="1"/>
  <c r="L15" i="1"/>
  <c r="N3" i="1"/>
  <c r="C7" i="3" s="1"/>
  <c r="P6" i="1" l="1"/>
  <c r="D10" i="3"/>
  <c r="P11" i="1"/>
  <c r="P5" i="1"/>
  <c r="D20" i="3"/>
  <c r="P13" i="1"/>
  <c r="P3" i="1"/>
  <c r="D7" i="3"/>
  <c r="P17" i="1"/>
  <c r="P55" i="1"/>
  <c r="F37" i="2"/>
  <c r="H4" i="2"/>
  <c r="H37" i="2" s="1"/>
  <c r="E37" i="2"/>
  <c r="N60" i="1"/>
  <c r="Q60" i="1" s="1"/>
  <c r="K62" i="1"/>
  <c r="N66" i="1"/>
  <c r="N54" i="1"/>
  <c r="Q54" i="1" s="1"/>
  <c r="N55" i="1"/>
  <c r="D61" i="3" s="1"/>
  <c r="E61" i="3" s="1"/>
  <c r="N32" i="1"/>
  <c r="Q32" i="1" s="1"/>
  <c r="K15" i="1"/>
  <c r="N25" i="1"/>
  <c r="Q25" i="1" s="1"/>
  <c r="J15" i="1"/>
  <c r="N4" i="1"/>
  <c r="N34" i="1"/>
  <c r="Q34" i="1" s="1"/>
  <c r="N27" i="1"/>
  <c r="Q27" i="1" s="1"/>
  <c r="N65" i="1"/>
  <c r="N52" i="1"/>
  <c r="Q52" i="1" s="1"/>
  <c r="G62" i="1"/>
  <c r="H62" i="1"/>
  <c r="N35" i="1"/>
  <c r="Q35" i="1" s="1"/>
  <c r="N58" i="1"/>
  <c r="Q58" i="1" s="1"/>
  <c r="E62" i="1"/>
  <c r="E15" i="1"/>
  <c r="N17" i="1"/>
  <c r="C26" i="3" s="1"/>
  <c r="N53" i="1"/>
  <c r="Q53" i="1" s="1"/>
  <c r="L62" i="1"/>
  <c r="N10" i="1"/>
  <c r="N7" i="1"/>
  <c r="I62" i="1"/>
  <c r="F15" i="1"/>
  <c r="D62" i="1"/>
  <c r="N30" i="1"/>
  <c r="Q30" i="1" s="1"/>
  <c r="N8" i="1"/>
  <c r="C13" i="3" s="1"/>
  <c r="D13" i="3" s="1"/>
  <c r="N22" i="1"/>
  <c r="Q22" i="1" s="1"/>
  <c r="N18" i="1"/>
  <c r="Q18" i="1" s="1"/>
  <c r="F62" i="1"/>
  <c r="M62" i="1"/>
  <c r="P4" i="1" l="1"/>
  <c r="P10" i="1"/>
  <c r="P8" i="1"/>
  <c r="Q55" i="1"/>
  <c r="Q17" i="1"/>
  <c r="N67" i="1"/>
  <c r="C73" i="3" s="1"/>
  <c r="D73" i="3" s="1"/>
  <c r="O63" i="1"/>
  <c r="O68" i="1" s="1"/>
  <c r="N15" i="1"/>
  <c r="D21" i="3" s="1"/>
  <c r="N62" i="1"/>
  <c r="C68" i="3" s="1"/>
  <c r="D68" i="3" s="1"/>
  <c r="N63" i="1" l="1"/>
  <c r="N6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Emily Davis</author>
    <author>blair hamilton</author>
    <author>Hiersche, Kristina M</author>
  </authors>
  <commentList>
    <comment ref="F3" authorId="0" shapeId="0" xr:uid="{FE6443AF-1E83-416B-B815-EE8C6B5973B5}">
      <text>
        <r>
          <rPr>
            <b/>
            <sz val="9"/>
            <color indexed="81"/>
            <rFont val="Tahoma"/>
            <family val="2"/>
          </rPr>
          <t>Emily Davis:</t>
        </r>
        <r>
          <rPr>
            <sz val="9"/>
            <color indexed="81"/>
            <rFont val="Tahoma"/>
            <family val="2"/>
          </rPr>
          <t xml:space="preserve">
Dance party $$ from selling drinks/food, etc.</t>
        </r>
      </text>
    </comment>
    <comment ref="J3" authorId="0" shapeId="0" xr:uid="{CD721EB3-11AE-43E5-83B1-0C737BB2F3A4}">
      <text>
        <r>
          <rPr>
            <b/>
            <sz val="9"/>
            <color indexed="81"/>
            <rFont val="Tahoma"/>
            <family val="2"/>
          </rPr>
          <t>Emily Davis:</t>
        </r>
        <r>
          <rPr>
            <sz val="9"/>
            <color indexed="81"/>
            <rFont val="Tahoma"/>
            <family val="2"/>
          </rPr>
          <t xml:space="preserve">
$28.80 check
$68.18 Paypal
$325 Cash
$491.22 Squared</t>
        </r>
      </text>
    </comment>
    <comment ref="K3" authorId="0" shapeId="0" xr:uid="{F5CA1B18-7A26-4B5F-B8B8-17ABB0C017E2}">
      <text>
        <r>
          <rPr>
            <b/>
            <sz val="9"/>
            <color indexed="81"/>
            <rFont val="Tahoma"/>
            <family val="2"/>
          </rPr>
          <t>Emily Davis:</t>
        </r>
        <r>
          <rPr>
            <sz val="9"/>
            <color indexed="81"/>
            <rFont val="Tahoma"/>
            <family val="2"/>
          </rPr>
          <t xml:space="preserve">
$207.25 Bing Go night
$92.53 for year book from parent donations</t>
        </r>
      </text>
    </comment>
    <comment ref="L3" authorId="0" shapeId="0" xr:uid="{8CE6D7B4-C3E7-4480-A7A5-56A4BF4745E1}">
      <text>
        <r>
          <rPr>
            <b/>
            <sz val="9"/>
            <color indexed="81"/>
            <rFont val="Tahoma"/>
            <family val="2"/>
          </rPr>
          <t>Emily Davis:</t>
        </r>
        <r>
          <rPr>
            <sz val="9"/>
            <color indexed="81"/>
            <rFont val="Tahoma"/>
            <family val="2"/>
          </rPr>
          <t xml:space="preserve">
$30 in cash yearbook
$5 check yearbook
$102.73 Paypal year book
$337 from Neon dance
$14.46 plant sale</t>
        </r>
      </text>
    </comment>
    <comment ref="M3" authorId="0" shapeId="0" xr:uid="{8993EFFD-2A57-4162-B878-C2D4F44D5A8A}">
      <text>
        <r>
          <rPr>
            <b/>
            <sz val="9"/>
            <color indexed="81"/>
            <rFont val="Tahoma"/>
            <charset val="1"/>
          </rPr>
          <t>Emily Davis:</t>
        </r>
        <r>
          <rPr>
            <sz val="9"/>
            <color indexed="81"/>
            <rFont val="Tahoma"/>
            <charset val="1"/>
          </rPr>
          <t xml:space="preserve">
$38 from Paypal for May plant sale plus $31.75 in cash</t>
        </r>
      </text>
    </comment>
    <comment ref="O3" authorId="1" shapeId="0" xr:uid="{AF598665-B984-4E24-A7AB-23CCEE39A6D6}">
      <text>
        <r>
          <rPr>
            <b/>
            <sz val="9"/>
            <color indexed="81"/>
            <rFont val="Tahoma"/>
            <family val="2"/>
          </rPr>
          <t>blair hamilton:</t>
        </r>
        <r>
          <rPr>
            <sz val="9"/>
            <color indexed="81"/>
            <rFont val="Tahoma"/>
            <family val="2"/>
          </rPr>
          <t xml:space="preserve">
This amount gets added to the PTO budget </t>
        </r>
      </text>
    </comment>
    <comment ref="F4" authorId="0" shapeId="0" xr:uid="{DCA997DB-7A85-40E5-BA35-6F5438F0AE6D}">
      <text>
        <r>
          <rPr>
            <b/>
            <sz val="9"/>
            <color indexed="81"/>
            <rFont val="Tahoma"/>
            <family val="2"/>
          </rPr>
          <t>Emily Davis:</t>
        </r>
        <r>
          <rPr>
            <sz val="9"/>
            <color indexed="81"/>
            <rFont val="Tahoma"/>
            <family val="2"/>
          </rPr>
          <t xml:space="preserve">
$263.87 is to pay Scholastic for cash received over amt Donnelly selected to receive in cash proceeds</t>
        </r>
      </text>
    </comment>
    <comment ref="E7" authorId="0" shapeId="0" xr:uid="{78C93C86-F3CE-47BE-98EA-BC61E98A7D6B}">
      <text>
        <r>
          <rPr>
            <b/>
            <sz val="9"/>
            <color indexed="81"/>
            <rFont val="Tahoma"/>
            <family val="2"/>
          </rPr>
          <t>Emily Davis:</t>
        </r>
        <r>
          <rPr>
            <sz val="9"/>
            <color indexed="81"/>
            <rFont val="Tahoma"/>
            <family val="2"/>
          </rPr>
          <t xml:space="preserve">
added $841.75 for matching from Benevity, but transfer not received yet.  Come through on 12/2 for $827.25 after fees</t>
        </r>
      </text>
    </comment>
    <comment ref="H8" authorId="0" shapeId="0" xr:uid="{A8B28BD9-9C34-4722-A6AA-CE96ECA7074D}">
      <text>
        <r>
          <rPr>
            <b/>
            <sz val="9"/>
            <color indexed="81"/>
            <rFont val="Tahoma"/>
            <family val="2"/>
          </rPr>
          <t>Emily Davis:</t>
        </r>
        <r>
          <rPr>
            <sz val="9"/>
            <color indexed="81"/>
            <rFont val="Tahoma"/>
            <family val="2"/>
          </rPr>
          <t xml:space="preserve">
Bright Horizon Foundation.  Donation in honor of Sara's volunteer hours</t>
        </r>
      </text>
    </comment>
    <comment ref="I8" authorId="0" shapeId="0" xr:uid="{0DD4B34B-3664-41C5-8FBD-C8358D9C9DC8}">
      <text>
        <r>
          <rPr>
            <b/>
            <sz val="9"/>
            <color indexed="81"/>
            <rFont val="Tahoma"/>
            <family val="2"/>
          </rPr>
          <t>Emily Davis:</t>
        </r>
        <r>
          <rPr>
            <sz val="9"/>
            <color indexed="81"/>
            <rFont val="Tahoma"/>
            <family val="2"/>
          </rPr>
          <t xml:space="preserve">
$48.51 from CAF America on behalf of Allstate</t>
        </r>
      </text>
    </comment>
    <comment ref="J8" authorId="0" shapeId="0" xr:uid="{E1CEA76F-CDE7-45FA-B75C-85026FC97878}">
      <text>
        <r>
          <rPr>
            <b/>
            <sz val="9"/>
            <color indexed="81"/>
            <rFont val="Tahoma"/>
            <family val="2"/>
          </rPr>
          <t>Emily Davis:</t>
        </r>
        <r>
          <rPr>
            <sz val="9"/>
            <color indexed="81"/>
            <rFont val="Tahoma"/>
            <family val="2"/>
          </rPr>
          <t xml:space="preserve">
$20 from donuts with grown ups donation
$250 for Art Lit donation from Southminster church</t>
        </r>
      </text>
    </comment>
    <comment ref="K8" authorId="0" shapeId="0" xr:uid="{DBF022C4-4B78-4B07-B88A-18B87349CC40}">
      <text>
        <r>
          <rPr>
            <b/>
            <sz val="9"/>
            <color indexed="81"/>
            <rFont val="Tahoma"/>
            <family val="2"/>
          </rPr>
          <t>Emily Davis:</t>
        </r>
        <r>
          <rPr>
            <sz val="9"/>
            <color indexed="81"/>
            <rFont val="Tahoma"/>
            <family val="2"/>
          </rPr>
          <t xml:space="preserve">
$100 from United Way</t>
        </r>
      </text>
    </comment>
    <comment ref="L8" authorId="0" shapeId="0" xr:uid="{001C4077-514A-4101-95C0-7EBE2CAE4D58}">
      <text>
        <r>
          <rPr>
            <b/>
            <sz val="9"/>
            <color indexed="81"/>
            <rFont val="Tahoma"/>
            <charset val="1"/>
          </rPr>
          <t>Emily Davis:</t>
        </r>
        <r>
          <rPr>
            <sz val="9"/>
            <color indexed="81"/>
            <rFont val="Tahoma"/>
            <charset val="1"/>
          </rPr>
          <t xml:space="preserve">
</t>
        </r>
      </text>
    </comment>
    <comment ref="I9" authorId="0" shapeId="0" xr:uid="{B94FD218-EE87-4472-92CA-2703E53DECE4}">
      <text>
        <r>
          <rPr>
            <b/>
            <sz val="9"/>
            <color indexed="81"/>
            <rFont val="Tahoma"/>
            <family val="2"/>
          </rPr>
          <t>Emily Davis:</t>
        </r>
        <r>
          <rPr>
            <sz val="9"/>
            <color indexed="81"/>
            <rFont val="Tahoma"/>
            <family val="2"/>
          </rPr>
          <t xml:space="preserve">
$520 paypal
$243 cash</t>
        </r>
      </text>
    </comment>
    <comment ref="H10" authorId="0" shapeId="0" xr:uid="{9B09336F-D005-4522-80DC-39A73ADF7D7A}">
      <text>
        <r>
          <rPr>
            <b/>
            <sz val="9"/>
            <color indexed="81"/>
            <rFont val="Tahoma"/>
            <family val="2"/>
          </rPr>
          <t>Emily Davis:</t>
        </r>
        <r>
          <rPr>
            <sz val="9"/>
            <color indexed="81"/>
            <rFont val="Tahoma"/>
            <family val="2"/>
          </rPr>
          <t xml:space="preserve">
$162.63 was from the Regal Movie fundraiser</t>
        </r>
      </text>
    </comment>
    <comment ref="I10" authorId="0" shapeId="0" xr:uid="{6411880A-6076-4878-A9A9-51870FF70375}">
      <text>
        <r>
          <rPr>
            <b/>
            <sz val="9"/>
            <color indexed="81"/>
            <rFont val="Tahoma"/>
            <family val="2"/>
          </rPr>
          <t>Emily Davis:</t>
        </r>
        <r>
          <rPr>
            <sz val="9"/>
            <color indexed="81"/>
            <rFont val="Tahoma"/>
            <family val="2"/>
          </rPr>
          <t xml:space="preserve">
$534.20 - Pastini</t>
        </r>
      </text>
    </comment>
    <comment ref="K10" authorId="0" shapeId="0" xr:uid="{FE0DFB9D-CFBA-4F68-880F-2FA36EEC73DD}">
      <text>
        <r>
          <rPr>
            <b/>
            <sz val="9"/>
            <color indexed="81"/>
            <rFont val="Tahoma"/>
            <family val="2"/>
          </rPr>
          <t>Emily Davis:</t>
        </r>
        <r>
          <rPr>
            <sz val="9"/>
            <color indexed="81"/>
            <rFont val="Tahoma"/>
            <family val="2"/>
          </rPr>
          <t xml:space="preserve">
$241.29 from Chick Fil A</t>
        </r>
      </text>
    </comment>
    <comment ref="L10" authorId="0" shapeId="0" xr:uid="{5D79AF02-A28A-4418-A1E9-F3BC61AC0BA2}">
      <text>
        <r>
          <rPr>
            <b/>
            <sz val="9"/>
            <color indexed="81"/>
            <rFont val="Tahoma"/>
            <family val="2"/>
          </rPr>
          <t>Emily Davis:</t>
        </r>
        <r>
          <rPr>
            <sz val="9"/>
            <color indexed="81"/>
            <rFont val="Tahoma"/>
            <family val="2"/>
          </rPr>
          <t xml:space="preserve">
$533.54 Burgerville
$1748.50 McMenamins</t>
        </r>
      </text>
    </comment>
    <comment ref="D17" authorId="0" shapeId="0" xr:uid="{FE3C5CA0-0B28-493E-8EE0-4188A4FDD13C}">
      <text>
        <r>
          <rPr>
            <b/>
            <sz val="9"/>
            <color indexed="81"/>
            <rFont val="Tahoma"/>
            <family val="2"/>
          </rPr>
          <t>Emily Davis:</t>
        </r>
        <r>
          <rPr>
            <sz val="9"/>
            <color indexed="81"/>
            <rFont val="Tahoma"/>
            <family val="2"/>
          </rPr>
          <t xml:space="preserve">
King Pin deposit for 6/9/25 party</t>
        </r>
      </text>
    </comment>
    <comment ref="L17" authorId="0" shapeId="0" xr:uid="{4B1AC00A-A710-44A0-9AF1-4E1B1EABFF97}">
      <text>
        <r>
          <rPr>
            <b/>
            <sz val="9"/>
            <color indexed="81"/>
            <rFont val="Tahoma"/>
            <family val="2"/>
          </rPr>
          <t>Emily Davis:</t>
        </r>
        <r>
          <rPr>
            <sz val="9"/>
            <color indexed="81"/>
            <rFont val="Tahoma"/>
            <family val="2"/>
          </rPr>
          <t xml:space="preserve">
$604.10 yearbook</t>
        </r>
      </text>
    </comment>
    <comment ref="M17" authorId="0" shapeId="0" xr:uid="{6FB546AF-FD0F-40A1-8827-C41C575F6934}">
      <text>
        <r>
          <rPr>
            <b/>
            <sz val="9"/>
            <color indexed="81"/>
            <rFont val="Tahoma"/>
            <family val="2"/>
          </rPr>
          <t>Emily Davis:</t>
        </r>
        <r>
          <rPr>
            <sz val="9"/>
            <color indexed="81"/>
            <rFont val="Tahoma"/>
            <family val="2"/>
          </rPr>
          <t xml:space="preserve">
$1,225 is balance paid to King Pins
plent sale cost of $530 - donation to cover.
</t>
        </r>
      </text>
    </comment>
    <comment ref="O22" authorId="1" shapeId="0" xr:uid="{0EAE8937-CF76-411D-B87A-F7EDA80E00D7}">
      <text>
        <r>
          <rPr>
            <b/>
            <sz val="9"/>
            <color indexed="81"/>
            <rFont val="Tahoma"/>
            <family val="2"/>
          </rPr>
          <t>blair hamilton:</t>
        </r>
        <r>
          <rPr>
            <sz val="9"/>
            <color indexed="81"/>
            <rFont val="Tahoma"/>
            <family val="2"/>
          </rPr>
          <t xml:space="preserve">
*The amount we spend/budget for library expense spending is determined by Mrs. Donnelly and the previous years book fair proceeds. We "hold" the proceeds for her and it becomes her budget for the next year. In the 23/24 year she requested $1000 cash proceeds from scholastic from each book fair for a total of $2000. This is a "use it or lose it" category... if she doesnt spend it all by the end of the year, its gone and does not roll over to the next year. </t>
        </r>
      </text>
    </comment>
    <comment ref="F24" authorId="0" shapeId="0" xr:uid="{EFDB748D-AF00-4B7F-8F7F-D4B4AAEEB8CB}">
      <text>
        <r>
          <rPr>
            <b/>
            <sz val="9"/>
            <color indexed="81"/>
            <rFont val="Tahoma"/>
            <family val="2"/>
          </rPr>
          <t>Emily Davis:</t>
        </r>
        <r>
          <rPr>
            <sz val="9"/>
            <color indexed="81"/>
            <rFont val="Tahoma"/>
            <family val="2"/>
          </rPr>
          <t xml:space="preserve">
Shirt order $621; partially offset by parents paying for their shirts of $143</t>
        </r>
      </text>
    </comment>
    <comment ref="O25" authorId="1" shapeId="0" xr:uid="{8358D6FE-DC16-446D-B0A8-12565169BA1B}">
      <text>
        <r>
          <rPr>
            <b/>
            <sz val="9"/>
            <color indexed="81"/>
            <rFont val="Tahoma"/>
            <family val="2"/>
          </rPr>
          <t>blair hamilton:</t>
        </r>
        <r>
          <rPr>
            <sz val="9"/>
            <color indexed="81"/>
            <rFont val="Tahoma"/>
            <family val="2"/>
          </rPr>
          <t xml:space="preserve">
3 parties a year per class at $50 max reimbursed per party
</t>
        </r>
      </text>
    </comment>
    <comment ref="L28" authorId="0" shapeId="0" xr:uid="{75B2DC72-379E-45A8-A8AB-5B7F54C82063}">
      <text>
        <r>
          <rPr>
            <b/>
            <sz val="9"/>
            <color indexed="81"/>
            <rFont val="Tahoma"/>
            <charset val="1"/>
          </rPr>
          <t>Emily Davis:</t>
        </r>
        <r>
          <rPr>
            <sz val="9"/>
            <color indexed="81"/>
            <rFont val="Tahoma"/>
            <charset val="1"/>
          </rPr>
          <t xml:space="preserve">
donuts and popsicles</t>
        </r>
      </text>
    </comment>
    <comment ref="A30" authorId="2" shapeId="0" xr:uid="{C11DEE9C-A774-419C-8E0D-5694D7C87501}">
      <text>
        <r>
          <rPr>
            <b/>
            <sz val="9"/>
            <color indexed="81"/>
            <rFont val="Tahoma"/>
            <family val="2"/>
          </rPr>
          <t>Hiersche, Kristina M:</t>
        </r>
        <r>
          <rPr>
            <sz val="9"/>
            <color indexed="81"/>
            <rFont val="Tahoma"/>
            <family val="2"/>
          </rPr>
          <t xml:space="preserve">
 (Quickbooks Jun, Web Hosting May, Domain Name)</t>
        </r>
      </text>
    </comment>
    <comment ref="F30" authorId="0" shapeId="0" xr:uid="{66A25E07-3B49-4EFC-9039-5E2B3F69820F}">
      <text>
        <r>
          <rPr>
            <b/>
            <sz val="9"/>
            <color indexed="81"/>
            <rFont val="Tahoma"/>
            <family val="2"/>
          </rPr>
          <t>Emily Davis:</t>
        </r>
        <r>
          <rPr>
            <sz val="9"/>
            <color indexed="81"/>
            <rFont val="Tahoma"/>
            <family val="2"/>
          </rPr>
          <t xml:space="preserve">
Quickbooks</t>
        </r>
      </text>
    </comment>
    <comment ref="G30" authorId="0" shapeId="0" xr:uid="{3194AD70-DDDD-4E25-9948-4E4CF81425B9}">
      <text>
        <r>
          <rPr>
            <b/>
            <sz val="9"/>
            <color indexed="81"/>
            <rFont val="Tahoma"/>
            <family val="2"/>
          </rPr>
          <t>Emily Davis:</t>
        </r>
        <r>
          <rPr>
            <sz val="9"/>
            <color indexed="81"/>
            <rFont val="Tahoma"/>
            <family val="2"/>
          </rPr>
          <t xml:space="preserve">
$48 Word Press renewal</t>
        </r>
      </text>
    </comment>
    <comment ref="M33" authorId="0" shapeId="0" xr:uid="{EF4D526C-FB0F-4718-B5C2-DA620132B7ED}">
      <text>
        <r>
          <rPr>
            <b/>
            <sz val="9"/>
            <color indexed="81"/>
            <rFont val="Tahoma"/>
            <charset val="1"/>
          </rPr>
          <t>Emily Davis:</t>
        </r>
        <r>
          <rPr>
            <sz val="9"/>
            <color indexed="81"/>
            <rFont val="Tahoma"/>
            <charset val="1"/>
          </rPr>
          <t xml:space="preserve">
Pizza for EOY. Agreed to use field trip budget as they hardly spent anything out of the field trip budget</t>
        </r>
      </text>
    </comment>
    <comment ref="I34" authorId="0" shapeId="0" xr:uid="{7092F687-4853-4498-AEFA-0CF5BE93486F}">
      <text>
        <r>
          <rPr>
            <b/>
            <sz val="9"/>
            <color indexed="81"/>
            <rFont val="Tahoma"/>
            <family val="2"/>
          </rPr>
          <t>Emily Davis:</t>
        </r>
        <r>
          <rPr>
            <sz val="9"/>
            <color indexed="81"/>
            <rFont val="Tahoma"/>
            <family val="2"/>
          </rPr>
          <t xml:space="preserve">
Oregon Zoo payment for May 16th field trip</t>
        </r>
      </text>
    </comment>
    <comment ref="K34" authorId="0" shapeId="0" xr:uid="{A95DB7F4-77E6-4129-BF61-A1D4E25590C4}">
      <text>
        <r>
          <rPr>
            <b/>
            <sz val="9"/>
            <color indexed="81"/>
            <rFont val="Tahoma"/>
            <family val="2"/>
          </rPr>
          <t>Emily Davis:</t>
        </r>
        <r>
          <rPr>
            <sz val="9"/>
            <color indexed="81"/>
            <rFont val="Tahoma"/>
            <family val="2"/>
          </rPr>
          <t xml:space="preserve">
6 additional tickets for Zoo trip</t>
        </r>
      </text>
    </comment>
    <comment ref="M34" authorId="0" shapeId="0" xr:uid="{37FC7D4F-6470-408B-B80B-6036057E2399}">
      <text>
        <r>
          <rPr>
            <b/>
            <sz val="9"/>
            <color indexed="81"/>
            <rFont val="Tahoma"/>
            <charset val="1"/>
          </rPr>
          <t>Emily Davis:</t>
        </r>
        <r>
          <rPr>
            <sz val="9"/>
            <color indexed="81"/>
            <rFont val="Tahoma"/>
            <charset val="1"/>
          </rPr>
          <t xml:space="preserve">
credit for over payment to Fir Grove (invoiced us higher then actual invoice)</t>
        </r>
      </text>
    </comment>
    <comment ref="L35" authorId="0" shapeId="0" xr:uid="{5E38AE5E-D866-4356-BFE1-4F6FDC517CA3}">
      <text>
        <r>
          <rPr>
            <b/>
            <sz val="9"/>
            <color indexed="81"/>
            <rFont val="Tahoma"/>
            <charset val="1"/>
          </rPr>
          <t>Emily Davis:</t>
        </r>
        <r>
          <rPr>
            <sz val="9"/>
            <color indexed="81"/>
            <rFont val="Tahoma"/>
            <charset val="1"/>
          </rPr>
          <t xml:space="preserve">
OMSI $943</t>
        </r>
      </text>
    </comment>
    <comment ref="H36" authorId="0" shapeId="0" xr:uid="{EE43110C-767C-4D2B-B738-2010D259C628}">
      <text>
        <r>
          <rPr>
            <b/>
            <sz val="9"/>
            <color indexed="81"/>
            <rFont val="Tahoma"/>
            <family val="2"/>
          </rPr>
          <t>Emily Davis:</t>
        </r>
        <r>
          <rPr>
            <sz val="9"/>
            <color indexed="81"/>
            <rFont val="Tahoma"/>
            <family val="2"/>
          </rPr>
          <t xml:space="preserve">
Alpacas of Oregon.  Field trip April 4th</t>
        </r>
      </text>
    </comment>
    <comment ref="K36" authorId="0" shapeId="0" xr:uid="{68353B11-FC63-4901-8948-BF76F6AA01B7}">
      <text>
        <r>
          <rPr>
            <b/>
            <sz val="9"/>
            <color indexed="81"/>
            <rFont val="Tahoma"/>
            <family val="2"/>
          </rPr>
          <t>Emily Davis:</t>
        </r>
        <r>
          <rPr>
            <sz val="9"/>
            <color indexed="81"/>
            <rFont val="Tahoma"/>
            <family val="2"/>
          </rPr>
          <t xml:space="preserve">
$448.50 for Zoo field trip
$117.43 for bus to field trip to alpaca farm</t>
        </r>
      </text>
    </comment>
    <comment ref="H37" authorId="0" shapeId="0" xr:uid="{E2552058-88E5-470C-9C80-B8FC62CB4F39}">
      <text>
        <r>
          <rPr>
            <b/>
            <sz val="9"/>
            <color indexed="81"/>
            <rFont val="Tahoma"/>
            <family val="2"/>
          </rPr>
          <t>Emily Davis:</t>
        </r>
        <r>
          <rPr>
            <sz val="9"/>
            <color indexed="81"/>
            <rFont val="Tahoma"/>
            <family val="2"/>
          </rPr>
          <t xml:space="preserve">
deposit</t>
        </r>
      </text>
    </comment>
    <comment ref="M37" authorId="0" shapeId="0" xr:uid="{1E8EC565-043E-4B09-A025-1237CC7839E7}">
      <text>
        <r>
          <rPr>
            <b/>
            <sz val="9"/>
            <color indexed="81"/>
            <rFont val="Tahoma"/>
            <charset val="1"/>
          </rPr>
          <t>Emily Davis:</t>
        </r>
        <r>
          <rPr>
            <sz val="9"/>
            <color indexed="81"/>
            <rFont val="Tahoma"/>
            <charset val="1"/>
          </rPr>
          <t xml:space="preserve">
credit for over payment to Fir Grove (invoiced us higher then actual invoice)</t>
        </r>
      </text>
    </comment>
    <comment ref="J38" authorId="0" shapeId="0" xr:uid="{02735BED-5E64-426D-B292-A32AED232742}">
      <text>
        <r>
          <rPr>
            <b/>
            <sz val="9"/>
            <color indexed="81"/>
            <rFont val="Tahoma"/>
            <family val="2"/>
          </rPr>
          <t>Emily Davis:</t>
        </r>
        <r>
          <rPr>
            <sz val="9"/>
            <color indexed="81"/>
            <rFont val="Tahoma"/>
            <family val="2"/>
          </rPr>
          <t xml:space="preserve">
$383.50+$15 for zoo field trip in April
$680 for Hillsboro Hops</t>
        </r>
      </text>
    </comment>
    <comment ref="K38" authorId="0" shapeId="0" xr:uid="{A3B75896-C1D7-4B7F-811A-EE68B937E7AF}">
      <text>
        <r>
          <rPr>
            <b/>
            <sz val="9"/>
            <color indexed="81"/>
            <rFont val="Tahoma"/>
            <family val="2"/>
          </rPr>
          <t>Emily Davis:</t>
        </r>
        <r>
          <rPr>
            <sz val="9"/>
            <color indexed="81"/>
            <rFont val="Tahoma"/>
            <family val="2"/>
          </rPr>
          <t xml:space="preserve">
$333.41 - bus for zoo trip</t>
        </r>
      </text>
    </comment>
    <comment ref="I41" authorId="0" shapeId="0" xr:uid="{5F462200-495C-4BA5-B2F9-D2BF2AB527C5}">
      <text>
        <r>
          <rPr>
            <b/>
            <sz val="9"/>
            <color indexed="81"/>
            <rFont val="Tahoma"/>
            <family val="2"/>
          </rPr>
          <t>Emily Davis:</t>
        </r>
        <r>
          <rPr>
            <sz val="9"/>
            <color indexed="81"/>
            <rFont val="Tahoma"/>
            <family val="2"/>
          </rPr>
          <t xml:space="preserve">
$160 Jamba Juice Party</t>
        </r>
      </text>
    </comment>
    <comment ref="K43" authorId="0" shapeId="0" xr:uid="{9F78E156-5BB5-4F52-8983-A208256EAFEC}">
      <text>
        <r>
          <rPr>
            <b/>
            <sz val="9"/>
            <color indexed="81"/>
            <rFont val="Tahoma"/>
            <family val="2"/>
          </rPr>
          <t>Emily Davis:</t>
        </r>
        <r>
          <rPr>
            <sz val="9"/>
            <color indexed="81"/>
            <rFont val="Tahoma"/>
            <family val="2"/>
          </rPr>
          <t xml:space="preserve">
parent contributions to buy shirts</t>
        </r>
      </text>
    </comment>
    <comment ref="J47" authorId="0" shapeId="0" xr:uid="{C0487691-477F-4874-AD57-F7384BC94ADF}">
      <text>
        <r>
          <rPr>
            <b/>
            <sz val="9"/>
            <color indexed="81"/>
            <rFont val="Tahoma"/>
            <family val="2"/>
          </rPr>
          <t>Emily Davis:</t>
        </r>
        <r>
          <rPr>
            <sz val="9"/>
            <color indexed="81"/>
            <rFont val="Tahoma"/>
            <family val="2"/>
          </rPr>
          <t xml:space="preserve">
pizza's for meetings</t>
        </r>
      </text>
    </comment>
    <comment ref="M48" authorId="0" shapeId="0" xr:uid="{02CC73DC-FAC9-4799-8516-FB023F2F9676}">
      <text>
        <r>
          <rPr>
            <b/>
            <sz val="9"/>
            <color indexed="81"/>
            <rFont val="Tahoma"/>
            <charset val="1"/>
          </rPr>
          <t>Emily Davis:</t>
        </r>
        <r>
          <rPr>
            <sz val="9"/>
            <color indexed="81"/>
            <rFont val="Tahoma"/>
            <charset val="1"/>
          </rPr>
          <t xml:space="preserve">
$501.38 new speaker and accessories</t>
        </r>
      </text>
    </comment>
    <comment ref="I55" authorId="0" shapeId="0" xr:uid="{8EE2BE74-9C96-46F7-A194-257367DEE19C}">
      <text>
        <r>
          <rPr>
            <b/>
            <sz val="9"/>
            <color indexed="81"/>
            <rFont val="Tahoma"/>
            <family val="2"/>
          </rPr>
          <t>Emily Davis:</t>
        </r>
        <r>
          <rPr>
            <sz val="9"/>
            <color indexed="81"/>
            <rFont val="Tahoma"/>
            <family val="2"/>
          </rPr>
          <t xml:space="preserve">
$180.41 Staff treat from Blair - Jan &amp; Feb</t>
        </r>
      </text>
    </comment>
    <comment ref="K55" authorId="0" shapeId="0" xr:uid="{DE85D945-D35F-4FB2-8B4C-7312ED27ADCB}">
      <text>
        <r>
          <rPr>
            <b/>
            <sz val="9"/>
            <color indexed="81"/>
            <rFont val="Tahoma"/>
            <family val="2"/>
          </rPr>
          <t>Emily Davis:</t>
        </r>
        <r>
          <rPr>
            <sz val="9"/>
            <color indexed="81"/>
            <rFont val="Tahoma"/>
            <family val="2"/>
          </rPr>
          <t xml:space="preserve">
$570 for conference dinner Wednesday
$272.50 for Starbucks</t>
        </r>
      </text>
    </comment>
    <comment ref="O55" authorId="1" shapeId="0" xr:uid="{490EA6CC-90FD-4092-9F86-418A6CE91622}">
      <text>
        <r>
          <rPr>
            <b/>
            <sz val="9"/>
            <color indexed="81"/>
            <rFont val="Tahoma"/>
            <family val="2"/>
          </rPr>
          <t>blair hamilton:</t>
        </r>
        <r>
          <rPr>
            <sz val="9"/>
            <color indexed="81"/>
            <rFont val="Tahoma"/>
            <family val="2"/>
          </rPr>
          <t xml:space="preserve">
Actual budget is the approved amount in this cell PLUS the ammount we receive in donations in the income section above
</t>
        </r>
      </text>
    </comment>
    <comment ref="F56" authorId="0" shapeId="0" xr:uid="{EB51F4B6-8D1C-438D-8B49-B0DEBDC2D5EB}">
      <text>
        <r>
          <rPr>
            <b/>
            <sz val="9"/>
            <color indexed="81"/>
            <rFont val="Tahoma"/>
            <family val="2"/>
          </rPr>
          <t>Emily Davis:</t>
        </r>
        <r>
          <rPr>
            <sz val="9"/>
            <color indexed="81"/>
            <rFont val="Tahoma"/>
            <family val="2"/>
          </rPr>
          <t xml:space="preserve">
Glass for student</t>
        </r>
      </text>
    </comment>
    <comment ref="H57" authorId="0" shapeId="0" xr:uid="{995E3599-6BD7-4426-8CE8-5AF4F8C90987}">
      <text>
        <r>
          <rPr>
            <b/>
            <sz val="9"/>
            <color indexed="81"/>
            <rFont val="Tahoma"/>
            <family val="2"/>
          </rPr>
          <t>Emily Davis:</t>
        </r>
        <r>
          <rPr>
            <sz val="9"/>
            <color indexed="81"/>
            <rFont val="Tahoma"/>
            <family val="2"/>
          </rPr>
          <t xml:space="preserve">
Annual registration with Oregon Secretary of State</t>
        </r>
      </text>
    </comment>
    <comment ref="J59" authorId="0" shapeId="0" xr:uid="{EE5FE57A-262F-49D6-9F15-C4FC716EFE36}">
      <text>
        <r>
          <rPr>
            <b/>
            <sz val="9"/>
            <color indexed="81"/>
            <rFont val="Tahoma"/>
            <family val="2"/>
          </rPr>
          <t>Emily Davis:</t>
        </r>
        <r>
          <rPr>
            <sz val="9"/>
            <color indexed="81"/>
            <rFont val="Tahoma"/>
            <family val="2"/>
          </rPr>
          <t xml:space="preserve">
$100 in gift cards for attendance
$300 for multi-cultural night band</t>
        </r>
      </text>
    </comment>
    <comment ref="K59" authorId="0" shapeId="0" xr:uid="{DFD844E0-AE1B-40A1-968C-3F94DDE6B49F}">
      <text>
        <r>
          <rPr>
            <b/>
            <sz val="9"/>
            <color indexed="81"/>
            <rFont val="Tahoma"/>
            <family val="2"/>
          </rPr>
          <t>Emily Davis:</t>
        </r>
        <r>
          <rPr>
            <sz val="9"/>
            <color indexed="81"/>
            <rFont val="Tahoma"/>
            <family val="2"/>
          </rPr>
          <t xml:space="preserve">
$20 + $47.19 for parent reimbursement for multi-cultural night</t>
        </r>
      </text>
    </comment>
    <comment ref="L59" authorId="0" shapeId="0" xr:uid="{46410F81-FFF3-4258-91D4-9352F299CA1D}">
      <text>
        <r>
          <rPr>
            <b/>
            <sz val="9"/>
            <color indexed="81"/>
            <rFont val="Tahoma"/>
            <family val="2"/>
          </rPr>
          <t>Emily Davis:</t>
        </r>
        <r>
          <rPr>
            <sz val="9"/>
            <color indexed="81"/>
            <rFont val="Tahoma"/>
            <family val="2"/>
          </rPr>
          <t xml:space="preserve">
$166.25 for PTO meeting pizza</t>
        </r>
      </text>
    </comment>
    <comment ref="M59" authorId="0" shapeId="0" xr:uid="{B3D33932-9DC9-49FC-8086-3BF6D8EDB3DA}">
      <text>
        <r>
          <rPr>
            <b/>
            <sz val="9"/>
            <color indexed="81"/>
            <rFont val="Tahoma"/>
            <charset val="1"/>
          </rPr>
          <t>Emily Davis:</t>
        </r>
        <r>
          <rPr>
            <sz val="9"/>
            <color indexed="81"/>
            <rFont val="Tahoma"/>
            <charset val="1"/>
          </rPr>
          <t xml:space="preserve">
$400 to Brad for bike repairs/bike purchases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Davis</author>
  </authors>
  <commentList>
    <comment ref="G19" authorId="0" shapeId="0" xr:uid="{07465A0C-9CA0-46EC-9B14-592985A4CFCD}">
      <text>
        <r>
          <rPr>
            <b/>
            <sz val="9"/>
            <color indexed="81"/>
            <rFont val="Tahoma"/>
            <family val="2"/>
          </rPr>
          <t>Emily Davis:</t>
        </r>
        <r>
          <rPr>
            <sz val="9"/>
            <color indexed="81"/>
            <rFont val="Tahoma"/>
            <family val="2"/>
          </rPr>
          <t xml:space="preserve">
over spent of Feb party, but ok'd by Kristina and Blair.  No party help.  Serrao and to pay and handle party</t>
        </r>
      </text>
    </comment>
  </commentList>
</comments>
</file>

<file path=xl/sharedStrings.xml><?xml version="1.0" encoding="utf-8"?>
<sst xmlns="http://schemas.openxmlformats.org/spreadsheetml/2006/main" count="261" uniqueCount="225">
  <si>
    <t>July</t>
  </si>
  <si>
    <t>Aug</t>
  </si>
  <si>
    <t>Sept</t>
  </si>
  <si>
    <t>Oct</t>
  </si>
  <si>
    <t>Nov</t>
  </si>
  <si>
    <t>Dec</t>
  </si>
  <si>
    <t>Jan</t>
  </si>
  <si>
    <t>Feb</t>
  </si>
  <si>
    <t>Mar</t>
  </si>
  <si>
    <t>Apr</t>
  </si>
  <si>
    <t>May</t>
  </si>
  <si>
    <t>Jun</t>
  </si>
  <si>
    <t>TYD</t>
  </si>
  <si>
    <t>Approved Budget for 24/25</t>
  </si>
  <si>
    <t>Working Budget</t>
  </si>
  <si>
    <t>Income</t>
  </si>
  <si>
    <t>5th Grade Send Off (flow-thru)</t>
  </si>
  <si>
    <t>Book Fair Cash Sales (Flow-thru)</t>
  </si>
  <si>
    <t>Bottle Drop</t>
  </si>
  <si>
    <t>Box Tops</t>
  </si>
  <si>
    <t>Fun Run</t>
  </si>
  <si>
    <r>
      <t>Member/Misc</t>
    </r>
    <r>
      <rPr>
        <sz val="8"/>
        <rFont val="Aptos Narrow"/>
        <family val="2"/>
        <scheme val="minor"/>
      </rPr>
      <t xml:space="preserve"> (Donation; incl. corp. match funds)</t>
    </r>
  </si>
  <si>
    <t>Music &amp; School Concert Donations</t>
  </si>
  <si>
    <t>Restaurant/Retail Fundraiser</t>
  </si>
  <si>
    <r>
      <t>Rewards Programs</t>
    </r>
    <r>
      <rPr>
        <sz val="8"/>
        <rFont val="Aptos Narrow"/>
        <family val="2"/>
        <scheme val="minor"/>
      </rPr>
      <t xml:space="preserve"> (Amazon Smile, Fred Meyer)</t>
    </r>
  </si>
  <si>
    <t>School Supplies Donations</t>
  </si>
  <si>
    <t>Staff Appreciation donations</t>
  </si>
  <si>
    <t>Total Income</t>
  </si>
  <si>
    <t>Expenses</t>
  </si>
  <si>
    <t>Budget</t>
  </si>
  <si>
    <t>Remaining</t>
  </si>
  <si>
    <t>5th Grade Send Off</t>
  </si>
  <si>
    <t xml:space="preserve">*This is the amount the PTO has agreed to contribute. Any additional funds raised by the 5th graders gets added to this total. </t>
  </si>
  <si>
    <t>Art Literacy</t>
  </si>
  <si>
    <t>Assemblies</t>
  </si>
  <si>
    <t>Battle of the Books (OBOB)</t>
  </si>
  <si>
    <r>
      <t xml:space="preserve">Boohoo Woohoo </t>
    </r>
    <r>
      <rPr>
        <sz val="8"/>
        <rFont val="Aptos Narrow"/>
        <family val="2"/>
        <scheme val="minor"/>
      </rPr>
      <t>(welcome new families</t>
    </r>
    <r>
      <rPr>
        <sz val="11"/>
        <rFont val="Aptos Narrow"/>
        <family val="2"/>
        <scheme val="minor"/>
      </rPr>
      <t>)</t>
    </r>
  </si>
  <si>
    <r>
      <t>Book Fair/Library Profit Spending</t>
    </r>
    <r>
      <rPr>
        <sz val="8"/>
        <rFont val="Aptos Narrow"/>
        <family val="2"/>
        <scheme val="minor"/>
      </rPr>
      <t xml:space="preserve"> (previous yrs proceeds)</t>
    </r>
  </si>
  <si>
    <t>Book Room</t>
  </si>
  <si>
    <t>Chess Club</t>
  </si>
  <si>
    <t>Class Parties</t>
  </si>
  <si>
    <t>Clothes Closet Donation</t>
  </si>
  <si>
    <t>Music Room Supplies / School Concerts</t>
  </si>
  <si>
    <r>
      <t xml:space="preserve">Family Events </t>
    </r>
    <r>
      <rPr>
        <sz val="9"/>
        <rFont val="Aptos Narrow"/>
        <family val="2"/>
        <scheme val="minor"/>
      </rPr>
      <t>- Donut w/GrownUp/Dance</t>
    </r>
  </si>
  <si>
    <t>Dry Cleaining (Furry Grover)</t>
  </si>
  <si>
    <t>Dues &amp; Subscriptions</t>
  </si>
  <si>
    <t>Emergency Buckets</t>
  </si>
  <si>
    <t>Field Day (Villegas)</t>
  </si>
  <si>
    <t>Field Trips - Kindy</t>
  </si>
  <si>
    <t>Field Trips - 1st Grade</t>
  </si>
  <si>
    <t>Field Trips - 2nd Grade</t>
  </si>
  <si>
    <t xml:space="preserve">*field trip buses are roughly $350-450 for 2 buses, depending on how many hours they're gone. </t>
  </si>
  <si>
    <t>Field Trips - 3rd Grade</t>
  </si>
  <si>
    <t>Field Trips - 4th Grade</t>
  </si>
  <si>
    <t>Field Trips - 5th Grade</t>
  </si>
  <si>
    <r>
      <t>Field Trips</t>
    </r>
    <r>
      <rPr>
        <sz val="8"/>
        <rFont val="Aptos Narrow"/>
        <family val="2"/>
        <scheme val="minor"/>
      </rPr>
      <t xml:space="preserve"> - 5th grade College/Career Readiness</t>
    </r>
  </si>
  <si>
    <t>Fun Run - Pledgestar fees</t>
  </si>
  <si>
    <t>Fun Run supplies, prizes, and T-shirts</t>
  </si>
  <si>
    <t>Green Team</t>
  </si>
  <si>
    <t>Insurance</t>
  </si>
  <si>
    <t xml:space="preserve">Meet Your Teacher/Back to School </t>
  </si>
  <si>
    <t>PTO Meetings</t>
  </si>
  <si>
    <t>PTO Supplies</t>
  </si>
  <si>
    <t xml:space="preserve">Principal Budget </t>
  </si>
  <si>
    <t>Scholastic (3rd Grade)</t>
  </si>
  <si>
    <t>Scholastic (5th Grade)</t>
  </si>
  <si>
    <t>School Supplies</t>
  </si>
  <si>
    <t>snack pantry</t>
  </si>
  <si>
    <t>Spring Event (Formerly Science Expo)</t>
  </si>
  <si>
    <t>Staff Appreciation/Meals/Bdays</t>
  </si>
  <si>
    <t>Sunshine Fund</t>
  </si>
  <si>
    <t>Taxes &amp; Licenses</t>
  </si>
  <si>
    <t>Teacher Supplies</t>
  </si>
  <si>
    <t>Unbudgeted Expense</t>
  </si>
  <si>
    <t>Wellness (SEL) Center</t>
  </si>
  <si>
    <t>Total Expenses</t>
  </si>
  <si>
    <t>Net Operating Income</t>
  </si>
  <si>
    <t>Other Income</t>
  </si>
  <si>
    <t xml:space="preserve">   Bank Dividends</t>
  </si>
  <si>
    <t xml:space="preserve">   CD Dividends</t>
  </si>
  <si>
    <t>Total Other Income</t>
  </si>
  <si>
    <t>Net Income</t>
  </si>
  <si>
    <t>Meeting Updates &amp; Discussions</t>
  </si>
  <si>
    <t>Business Checking</t>
  </si>
  <si>
    <t>Business Savings</t>
  </si>
  <si>
    <t>CD 10 - 12 month (Jan)</t>
  </si>
  <si>
    <t>CD 15 - 12 month (Jul)</t>
  </si>
  <si>
    <t>Bottle drop</t>
  </si>
  <si>
    <t>Grade/Class</t>
  </si>
  <si>
    <t>Name</t>
  </si>
  <si>
    <t>Spent YTD</t>
  </si>
  <si>
    <t>Class Parties Spent</t>
  </si>
  <si>
    <t>Remaining Party Budget</t>
  </si>
  <si>
    <t>PreK</t>
  </si>
  <si>
    <t>Norris</t>
  </si>
  <si>
    <t>K</t>
  </si>
  <si>
    <t>Gooding</t>
  </si>
  <si>
    <t>Barto</t>
  </si>
  <si>
    <t>McCullough</t>
  </si>
  <si>
    <t>1st</t>
  </si>
  <si>
    <t>Harwood</t>
  </si>
  <si>
    <t>Ford</t>
  </si>
  <si>
    <t>2nd</t>
  </si>
  <si>
    <t>Standifer</t>
  </si>
  <si>
    <t>Beltran</t>
  </si>
  <si>
    <t>Viegas</t>
  </si>
  <si>
    <t>3rd</t>
  </si>
  <si>
    <t>West</t>
  </si>
  <si>
    <t>Oakes</t>
  </si>
  <si>
    <t>4th</t>
  </si>
  <si>
    <t>Calafet</t>
  </si>
  <si>
    <t>Peterson</t>
  </si>
  <si>
    <t>Carter</t>
  </si>
  <si>
    <t>5th</t>
  </si>
  <si>
    <t>Lee</t>
  </si>
  <si>
    <t>Serrao</t>
  </si>
  <si>
    <t>Holstrom</t>
  </si>
  <si>
    <t>Coach/Intvtn</t>
  </si>
  <si>
    <t>Hausman</t>
  </si>
  <si>
    <t>Pearson</t>
  </si>
  <si>
    <t>Reading</t>
  </si>
  <si>
    <t>King</t>
  </si>
  <si>
    <t>Counselor</t>
  </si>
  <si>
    <t>Caryl</t>
  </si>
  <si>
    <t>ESL</t>
  </si>
  <si>
    <t>Bell</t>
  </si>
  <si>
    <t>Debusk</t>
  </si>
  <si>
    <t>Resource Rm</t>
  </si>
  <si>
    <t>Choo</t>
  </si>
  <si>
    <t>Howard</t>
  </si>
  <si>
    <t>Library</t>
  </si>
  <si>
    <t>Donnelly</t>
  </si>
  <si>
    <t>Music</t>
  </si>
  <si>
    <t>Colett</t>
  </si>
  <si>
    <t>*included in music budget</t>
  </si>
  <si>
    <t>PE</t>
  </si>
  <si>
    <t>Villegas</t>
  </si>
  <si>
    <t>Social Wkr</t>
  </si>
  <si>
    <t>Silver</t>
  </si>
  <si>
    <t>Speech</t>
  </si>
  <si>
    <t>Castro/Moreno</t>
  </si>
  <si>
    <t>Stu Success</t>
  </si>
  <si>
    <t>Starr</t>
  </si>
  <si>
    <t>Tech/STEAM</t>
  </si>
  <si>
    <t>Roller</t>
  </si>
  <si>
    <t>Note for 25-26 budget:  Request from Jada to increase to $550 (per 2/3/25 email)</t>
  </si>
  <si>
    <t>Fir Grove PTO</t>
  </si>
  <si>
    <t>Total</t>
  </si>
  <si>
    <t>Gross Profit</t>
  </si>
  <si>
    <t>Net Other Income</t>
  </si>
  <si>
    <t>Teddy Bear Event</t>
  </si>
  <si>
    <t>Added to budget.  Approved at January PTO meeting</t>
  </si>
  <si>
    <t>Jump Rope Club (t-shirts)</t>
  </si>
  <si>
    <t>Statement of Activity</t>
  </si>
  <si>
    <t>Distribution account</t>
  </si>
  <si>
    <t>5th Grade Send Off (Income)</t>
  </si>
  <si>
    <t>Book Fair Sales</t>
  </si>
  <si>
    <t>BottleDrop</t>
  </si>
  <si>
    <t>Box Tops (Income)</t>
  </si>
  <si>
    <t>Fun Run (Income)</t>
  </si>
  <si>
    <t>Member/Misc (Donations)</t>
  </si>
  <si>
    <t>Music &amp; School Concert Fundraising</t>
  </si>
  <si>
    <t>Other Miscellaneous</t>
  </si>
  <si>
    <t>Restaurant / Retail Fundraisers</t>
  </si>
  <si>
    <t>Rewards Programs (Donations)</t>
  </si>
  <si>
    <t>Kroger Rewards (Fred Meyer)</t>
  </si>
  <si>
    <t>Total for Rewards Programs (Donations)</t>
  </si>
  <si>
    <t>School Supplies (Income)</t>
  </si>
  <si>
    <t>Staff Appreciation Donations</t>
  </si>
  <si>
    <t>Total for Income</t>
  </si>
  <si>
    <t>Cost of Goods Sold</t>
  </si>
  <si>
    <t>5th Grade Send Off (Expenses)</t>
  </si>
  <si>
    <t>Battle of the Books</t>
  </si>
  <si>
    <t>Boo Hoo/Woo Hoo</t>
  </si>
  <si>
    <t>Book Fair Profit / Library Spending</t>
  </si>
  <si>
    <t>Dry Cleaning</t>
  </si>
  <si>
    <t>Family Events - Donuts w/grownup / School Dance Etc</t>
  </si>
  <si>
    <t>Field Trips</t>
  </si>
  <si>
    <t>1st Grade</t>
  </si>
  <si>
    <t>2nd Grade</t>
  </si>
  <si>
    <t>3rd Grade</t>
  </si>
  <si>
    <t>4th Grade</t>
  </si>
  <si>
    <t>5th Grade</t>
  </si>
  <si>
    <t>Total for Field Trips</t>
  </si>
  <si>
    <t>Fun Run (Expenses)</t>
  </si>
  <si>
    <t>Jump Rope Club</t>
  </si>
  <si>
    <t>Meet Your Teacher</t>
  </si>
  <si>
    <t>Music &amp; Concert Supplies &amp; Expenses</t>
  </si>
  <si>
    <t>Principal Budget</t>
  </si>
  <si>
    <t>Scholastic Subscription (3rd Grade)</t>
  </si>
  <si>
    <t>Scholastic Subscription (5th Grade)</t>
  </si>
  <si>
    <t>School Supplies (Expenses)</t>
  </si>
  <si>
    <t>Staff Appreciation (Meals, staff treats, Bdays, etc)</t>
  </si>
  <si>
    <t>Total for Expenses</t>
  </si>
  <si>
    <t>Bank Dividends</t>
  </si>
  <si>
    <t>CD Dividends</t>
  </si>
  <si>
    <t>Total for Other Income</t>
  </si>
  <si>
    <t>Other Expenses</t>
  </si>
  <si>
    <t>ok, $400 was from PY</t>
  </si>
  <si>
    <t>ok, $231.48 from PY</t>
  </si>
  <si>
    <t>ok, $448 is from PY</t>
  </si>
  <si>
    <t>Added to budget.  Approved at January PTO meeting.  Keep for 25-26</t>
  </si>
  <si>
    <t>increase montly first Wednesday reimbursement to $125/month for 25-26</t>
  </si>
  <si>
    <t>PTO approved for projected budget overage</t>
  </si>
  <si>
    <t>*music budget is actually $3250 plus the $250 each teacher also gets. Request to hold budget the same for next year</t>
  </si>
  <si>
    <t>July 1, 2024-May 30, 2025</t>
  </si>
  <si>
    <t>Battle of the Books (Income)</t>
  </si>
  <si>
    <t>Field Day</t>
  </si>
  <si>
    <t>Kindy</t>
  </si>
  <si>
    <t>Snack Pantry</t>
  </si>
  <si>
    <t>Staff Meals (Conferences, first friday, etc)</t>
  </si>
  <si>
    <t>Total for Staff Appreciation (Meals, staff treats, Bdays, etc)</t>
  </si>
  <si>
    <t>The Wellness Center (SELC)</t>
  </si>
  <si>
    <t>Accrual Basis Friday, May 30, 2025 04:35 PM GMTZ</t>
  </si>
  <si>
    <t>coded wrong, fixing</t>
  </si>
  <si>
    <t>fixing</t>
  </si>
  <si>
    <t>- Dining for Dollars:  $534 from Burgerville and $1,748 from McMenamins</t>
  </si>
  <si>
    <t>- 5th Grade Send off Fundraising: $2,100 YTD</t>
  </si>
  <si>
    <t>- Neon Dance $337</t>
  </si>
  <si>
    <t>- Bingo Night $207</t>
  </si>
  <si>
    <t>Account Balances as of 06/5/2025</t>
  </si>
  <si>
    <t>- Bottle Drop: $2,500+ YTD; PLUS $310 in the bottle drop account</t>
  </si>
  <si>
    <t>- May was field trip month: $3,500 paid in May for various field trips</t>
  </si>
  <si>
    <t>- PTO donated $250 to Beaverton Clothing for Kids</t>
  </si>
  <si>
    <t>- Repalced broken Speaker - $501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</si>
</sst>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0.00"/>
  </numFmts>
  <fonts count="39"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sz val="11"/>
      <name val="Aptos Narrow"/>
      <family val="2"/>
      <scheme val="minor"/>
    </font>
    <font>
      <b/>
      <sz val="9"/>
      <name val="Aptos Narrow"/>
      <family val="2"/>
      <scheme val="minor"/>
    </font>
    <font>
      <sz val="8"/>
      <name val="Aptos Narrow"/>
      <family val="2"/>
      <scheme val="minor"/>
    </font>
    <font>
      <strike/>
      <sz val="11"/>
      <color theme="1"/>
      <name val="Aptos Narrow"/>
      <family val="2"/>
      <scheme val="minor"/>
    </font>
    <font>
      <sz val="9"/>
      <name val="Aptos Narrow"/>
      <family val="2"/>
      <scheme val="minor"/>
    </font>
    <font>
      <i/>
      <sz val="11"/>
      <color theme="1"/>
      <name val="Aptos Narrow"/>
      <family val="2"/>
      <scheme val="minor"/>
    </font>
    <font>
      <b/>
      <sz val="10"/>
      <name val="Aptos Narrow"/>
      <family val="2"/>
      <scheme val="minor"/>
    </font>
    <font>
      <sz val="10"/>
      <name val="Aptos Narrow"/>
      <family val="2"/>
      <scheme val="minor"/>
    </font>
    <font>
      <sz val="10"/>
      <color theme="1"/>
      <name val="Aptos Narrow"/>
      <family val="2"/>
      <scheme val="minor"/>
    </font>
    <font>
      <b/>
      <sz val="9"/>
      <color indexed="81"/>
      <name val="Tahoma"/>
      <family val="2"/>
    </font>
    <font>
      <sz val="9"/>
      <color indexed="81"/>
      <name val="Tahoma"/>
      <family val="2"/>
    </font>
    <font>
      <i/>
      <sz val="10"/>
      <color theme="1"/>
      <name val="Aptos Narrow"/>
      <family val="2"/>
      <scheme val="minor"/>
    </font>
    <font>
      <sz val="10"/>
      <color rgb="FFFF0000"/>
      <name val="Aptos Narrow"/>
      <family val="2"/>
      <scheme val="minor"/>
    </font>
    <font>
      <b/>
      <i/>
      <sz val="10"/>
      <name val="Aptos Narrow"/>
      <family val="2"/>
      <scheme val="minor"/>
    </font>
    <font>
      <i/>
      <sz val="10"/>
      <name val="Aptos Narrow"/>
      <family val="2"/>
      <scheme val="minor"/>
    </font>
    <font>
      <b/>
      <sz val="11"/>
      <color theme="1"/>
      <name val="Aptos Narrow"/>
      <family val="2"/>
      <scheme val="minor"/>
    </font>
    <font>
      <sz val="10"/>
      <name val="Arial"/>
      <family val="2"/>
    </font>
    <font>
      <u/>
      <sz val="11"/>
      <name val="Aptos Narrow"/>
      <family val="2"/>
      <scheme val="minor"/>
    </font>
    <font>
      <i/>
      <sz val="8"/>
      <color theme="1"/>
      <name val="Aptos Narrow"/>
      <family val="2"/>
      <scheme val="minor"/>
    </font>
    <font>
      <b/>
      <u/>
      <sz val="11"/>
      <name val="Aptos Narrow"/>
      <family val="2"/>
      <scheme val="minor"/>
    </font>
    <font>
      <u/>
      <sz val="10"/>
      <color theme="1"/>
      <name val="Aptos Narrow"/>
      <family val="2"/>
      <scheme val="minor"/>
    </font>
    <font>
      <u/>
      <sz val="11"/>
      <color theme="1"/>
      <name val="Aptos Narrow"/>
      <family val="2"/>
      <scheme val="minor"/>
    </font>
    <font>
      <b/>
      <u/>
      <sz val="9"/>
      <name val="Aptos Narrow"/>
      <family val="2"/>
      <scheme val="minor"/>
    </font>
    <font>
      <i/>
      <u/>
      <sz val="9"/>
      <name val="Aptos Narrow"/>
      <family val="2"/>
      <scheme val="minor"/>
    </font>
    <font>
      <b/>
      <i/>
      <sz val="10"/>
      <color rgb="FF000000"/>
      <name val="Aptos Narrow"/>
      <family val="2"/>
      <scheme val="minor"/>
    </font>
    <font>
      <sz val="11"/>
      <color indexed="8"/>
      <name val="Aptos Narrow"/>
      <family val="2"/>
      <scheme val="minor"/>
    </font>
    <font>
      <b/>
      <sz val="14"/>
      <color theme="1"/>
      <name val="Arial"/>
      <family val="2"/>
    </font>
    <font>
      <b/>
      <sz val="12"/>
      <color theme="1"/>
      <name val="Arial"/>
      <family val="2"/>
    </font>
    <font>
      <b/>
      <sz val="10"/>
      <color theme="1"/>
      <name val="Arial"/>
      <family val="2"/>
    </font>
    <font>
      <b/>
      <sz val="12"/>
      <color theme="1"/>
      <name val="Aptos Narrow"/>
      <family val="2"/>
      <scheme val="minor"/>
    </font>
    <font>
      <b/>
      <sz val="9"/>
      <color theme="1"/>
      <name val="Arial"/>
      <family val="2"/>
    </font>
    <font>
      <sz val="8"/>
      <color theme="1"/>
      <name val="Arial"/>
      <family val="2"/>
    </font>
    <font>
      <b/>
      <sz val="8"/>
      <color theme="1"/>
      <name val="Arial"/>
      <family val="2"/>
    </font>
    <font>
      <sz val="9"/>
      <color indexed="81"/>
      <name val="Tahoma"/>
      <charset val="1"/>
    </font>
    <font>
      <b/>
      <sz val="9"/>
      <color indexed="81"/>
      <name val="Tahoma"/>
      <charset val="1"/>
    </font>
  </fonts>
  <fills count="7">
    <fill>
      <patternFill patternType="none"/>
    </fill>
    <fill>
      <patternFill patternType="gray125"/>
    </fill>
    <fill>
      <patternFill patternType="solid">
        <fgColor theme="0" tint="-4.9989318521683403E-2"/>
        <bgColor indexed="64"/>
      </patternFill>
    </fill>
    <fill>
      <patternFill patternType="solid">
        <fgColor rgb="FFFFE1E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s>
  <borders count="2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indexed="64"/>
      </left>
      <right style="thin">
        <color theme="0" tint="-0.34998626667073579"/>
      </right>
      <top style="medium">
        <color indexed="64"/>
      </top>
      <bottom style="medium">
        <color indexed="64"/>
      </bottom>
      <diagonal/>
    </border>
    <border>
      <left/>
      <right style="thin">
        <color theme="0" tint="-0.34998626667073579"/>
      </right>
      <top style="medium">
        <color indexed="64"/>
      </top>
      <bottom style="medium">
        <color indexed="64"/>
      </bottom>
      <diagonal/>
    </border>
    <border>
      <left style="thin">
        <color theme="0" tint="-0.34998626667073579"/>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8"/>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bottom style="thin">
        <color auto="1"/>
      </bottom>
      <diagonal/>
    </border>
    <border>
      <left/>
      <right/>
      <top style="thin">
        <color auto="1"/>
      </top>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43" fontId="20" fillId="0" borderId="0" applyFont="0" applyFill="0" applyBorder="0" applyAlignment="0" applyProtection="0"/>
    <xf numFmtId="0" fontId="29" fillId="0" borderId="0"/>
    <xf numFmtId="0" fontId="33" fillId="0" borderId="25"/>
  </cellStyleXfs>
  <cellXfs count="158">
    <xf numFmtId="0" fontId="0" fillId="0" borderId="0" xfId="0"/>
    <xf numFmtId="0" fontId="3" fillId="0" borderId="0" xfId="0" applyFont="1" applyAlignment="1">
      <alignment horizontal="center" wrapText="1"/>
    </xf>
    <xf numFmtId="164" fontId="3" fillId="0" borderId="0" xfId="1" applyNumberFormat="1" applyFont="1" applyAlignment="1">
      <alignment horizontal="center" wrapText="1"/>
    </xf>
    <xf numFmtId="164" fontId="4" fillId="0" borderId="0" xfId="1" applyNumberFormat="1" applyFont="1" applyAlignment="1">
      <alignment horizontal="center" wrapText="1"/>
    </xf>
    <xf numFmtId="165" fontId="5" fillId="0" borderId="0" xfId="2" applyNumberFormat="1" applyFont="1" applyBorder="1" applyAlignment="1">
      <alignment horizontal="center" wrapText="1"/>
    </xf>
    <xf numFmtId="0" fontId="0" fillId="0" borderId="0" xfId="0" applyAlignment="1">
      <alignment horizontal="center" wrapText="1"/>
    </xf>
    <xf numFmtId="0" fontId="4" fillId="0" borderId="1" xfId="0" applyFont="1" applyBorder="1" applyAlignment="1">
      <alignment horizontal="left" vertical="top" wrapText="1"/>
    </xf>
    <xf numFmtId="164" fontId="4" fillId="2" borderId="1" xfId="1" applyNumberFormat="1" applyFont="1" applyFill="1" applyBorder="1" applyAlignment="1">
      <alignment horizontal="left" vertical="top" wrapText="1"/>
    </xf>
    <xf numFmtId="164" fontId="4" fillId="0" borderId="1" xfId="1" applyNumberFormat="1" applyFont="1" applyBorder="1" applyAlignment="1">
      <alignment horizontal="left" vertical="top" wrapText="1"/>
    </xf>
    <xf numFmtId="164" fontId="4" fillId="3" borderId="1" xfId="1" applyNumberFormat="1" applyFont="1" applyFill="1" applyBorder="1" applyAlignment="1">
      <alignment horizontal="left" vertical="top" wrapText="1"/>
    </xf>
    <xf numFmtId="165" fontId="3" fillId="4" borderId="1" xfId="2" applyNumberFormat="1" applyFont="1" applyFill="1" applyBorder="1" applyAlignment="1">
      <alignment vertical="top"/>
    </xf>
    <xf numFmtId="0" fontId="0" fillId="0" borderId="0" xfId="0" applyAlignment="1">
      <alignment wrapText="1"/>
    </xf>
    <xf numFmtId="4" fontId="3" fillId="0" borderId="1" xfId="0" applyNumberFormat="1" applyFont="1" applyBorder="1" applyAlignment="1">
      <alignment horizontal="left" vertical="top" wrapText="1"/>
    </xf>
    <xf numFmtId="164" fontId="3" fillId="2" borderId="1" xfId="1" applyNumberFormat="1" applyFont="1" applyFill="1" applyBorder="1" applyAlignment="1">
      <alignment horizontal="left" vertical="top" wrapText="1"/>
    </xf>
    <xf numFmtId="164" fontId="3" fillId="0" borderId="1" xfId="1" applyNumberFormat="1" applyFont="1" applyBorder="1" applyAlignment="1">
      <alignment horizontal="left" vertical="top" wrapText="1"/>
    </xf>
    <xf numFmtId="164" fontId="3" fillId="3" borderId="1" xfId="1" applyNumberFormat="1" applyFont="1" applyFill="1" applyBorder="1" applyAlignment="1">
      <alignment horizontal="left" vertical="top" wrapText="1"/>
    </xf>
    <xf numFmtId="164" fontId="0" fillId="0" borderId="0" xfId="1" applyNumberFormat="1" applyFont="1" applyAlignment="1">
      <alignment vertical="top" wrapText="1"/>
    </xf>
    <xf numFmtId="164" fontId="3" fillId="5" borderId="1" xfId="1" applyNumberFormat="1" applyFont="1" applyFill="1" applyBorder="1" applyAlignment="1">
      <alignment horizontal="left" vertical="top" wrapText="1"/>
    </xf>
    <xf numFmtId="0" fontId="3" fillId="0" borderId="1" xfId="0" applyFont="1" applyBorder="1" applyAlignment="1">
      <alignment horizontal="left" vertical="top" wrapText="1"/>
    </xf>
    <xf numFmtId="164" fontId="0" fillId="0" borderId="0" xfId="0" applyNumberFormat="1"/>
    <xf numFmtId="4" fontId="3" fillId="0" borderId="2" xfId="0" applyNumberFormat="1" applyFont="1" applyBorder="1" applyAlignment="1">
      <alignment horizontal="left" vertical="top" wrapText="1"/>
    </xf>
    <xf numFmtId="164" fontId="3" fillId="2" borderId="2" xfId="1" applyNumberFormat="1" applyFont="1" applyFill="1" applyBorder="1" applyAlignment="1">
      <alignment horizontal="left" vertical="top" wrapText="1"/>
    </xf>
    <xf numFmtId="164" fontId="3" fillId="0" borderId="2" xfId="1" applyNumberFormat="1" applyFont="1" applyBorder="1" applyAlignment="1">
      <alignment horizontal="left" vertical="top" wrapText="1"/>
    </xf>
    <xf numFmtId="164" fontId="3" fillId="3" borderId="2" xfId="1" applyNumberFormat="1" applyFont="1" applyFill="1" applyBorder="1" applyAlignment="1">
      <alignment horizontal="left" vertical="top" wrapText="1"/>
    </xf>
    <xf numFmtId="165" fontId="3" fillId="4" borderId="2" xfId="2" applyNumberFormat="1" applyFont="1" applyFill="1" applyBorder="1" applyAlignment="1">
      <alignment vertical="top"/>
    </xf>
    <xf numFmtId="4" fontId="4" fillId="0" borderId="3" xfId="0" applyNumberFormat="1" applyFont="1" applyBorder="1" applyAlignment="1">
      <alignment horizontal="left" vertical="top" wrapText="1"/>
    </xf>
    <xf numFmtId="164" fontId="4" fillId="2" borderId="4" xfId="1" applyNumberFormat="1" applyFont="1" applyFill="1" applyBorder="1" applyAlignment="1">
      <alignment horizontal="left" vertical="top" wrapText="1"/>
    </xf>
    <xf numFmtId="164" fontId="4" fillId="0" borderId="4" xfId="1" applyNumberFormat="1" applyFont="1" applyBorder="1" applyAlignment="1">
      <alignment horizontal="left" vertical="top" wrapText="1"/>
    </xf>
    <xf numFmtId="164" fontId="4" fillId="3" borderId="4" xfId="1" applyNumberFormat="1" applyFont="1" applyFill="1" applyBorder="1" applyAlignment="1">
      <alignment horizontal="left" vertical="top" wrapText="1"/>
    </xf>
    <xf numFmtId="165" fontId="4" fillId="4" borderId="5" xfId="2" applyNumberFormat="1" applyFont="1" applyFill="1" applyBorder="1" applyAlignment="1">
      <alignment horizontal="right" vertical="top"/>
    </xf>
    <xf numFmtId="164" fontId="4" fillId="2" borderId="0" xfId="1" applyNumberFormat="1" applyFont="1" applyFill="1" applyBorder="1" applyAlignment="1">
      <alignment horizontal="left" vertical="top" wrapText="1"/>
    </xf>
    <xf numFmtId="4" fontId="3" fillId="0" borderId="1" xfId="0" applyNumberFormat="1" applyFont="1" applyBorder="1" applyAlignment="1">
      <alignment vertical="top" wrapText="1"/>
    </xf>
    <xf numFmtId="164" fontId="3" fillId="2" borderId="1" xfId="1" applyNumberFormat="1" applyFont="1" applyFill="1" applyBorder="1" applyAlignment="1">
      <alignment vertical="top" wrapText="1"/>
    </xf>
    <xf numFmtId="164" fontId="3" fillId="0" borderId="1" xfId="1" applyNumberFormat="1" applyFont="1" applyBorder="1" applyAlignment="1">
      <alignment vertical="top" wrapText="1"/>
    </xf>
    <xf numFmtId="0" fontId="2" fillId="0" borderId="0" xfId="0" applyFont="1"/>
    <xf numFmtId="0" fontId="3" fillId="0" borderId="0" xfId="0" applyFont="1"/>
    <xf numFmtId="0" fontId="7" fillId="0" borderId="0" xfId="0" applyFont="1"/>
    <xf numFmtId="4" fontId="4" fillId="0" borderId="6" xfId="0" applyNumberFormat="1" applyFont="1" applyBorder="1" applyAlignment="1">
      <alignment horizontal="left" vertical="top" wrapText="1"/>
    </xf>
    <xf numFmtId="164" fontId="4" fillId="2" borderId="7" xfId="1" applyNumberFormat="1" applyFont="1" applyFill="1" applyBorder="1" applyAlignment="1">
      <alignment horizontal="left" vertical="top" wrapText="1"/>
    </xf>
    <xf numFmtId="164" fontId="4" fillId="0" borderId="7" xfId="1" applyNumberFormat="1" applyFont="1" applyBorder="1" applyAlignment="1">
      <alignment horizontal="left" vertical="top" wrapText="1"/>
    </xf>
    <xf numFmtId="164" fontId="4" fillId="3" borderId="7" xfId="1" applyNumberFormat="1" applyFont="1" applyFill="1" applyBorder="1" applyAlignment="1">
      <alignment horizontal="left" vertical="top" wrapText="1"/>
    </xf>
    <xf numFmtId="165" fontId="4" fillId="4" borderId="8" xfId="2" applyNumberFormat="1" applyFont="1" applyFill="1" applyBorder="1" applyAlignment="1">
      <alignment horizontal="right" vertical="top"/>
    </xf>
    <xf numFmtId="4" fontId="4" fillId="0" borderId="9" xfId="0" applyNumberFormat="1" applyFont="1" applyBorder="1" applyAlignment="1">
      <alignment horizontal="left" vertical="top" wrapText="1"/>
    </xf>
    <xf numFmtId="164" fontId="4" fillId="0" borderId="0" xfId="1" applyNumberFormat="1" applyFont="1" applyBorder="1" applyAlignment="1">
      <alignment horizontal="left" vertical="top" wrapText="1"/>
    </xf>
    <xf numFmtId="164" fontId="4" fillId="3" borderId="0" xfId="1" applyNumberFormat="1" applyFont="1" applyFill="1" applyBorder="1" applyAlignment="1">
      <alignment horizontal="left" vertical="top" wrapText="1"/>
    </xf>
    <xf numFmtId="164" fontId="4" fillId="4" borderId="10" xfId="1" applyNumberFormat="1" applyFont="1" applyFill="1" applyBorder="1" applyAlignment="1">
      <alignment horizontal="right" vertical="top"/>
    </xf>
    <xf numFmtId="4" fontId="4" fillId="0" borderId="11" xfId="0" applyNumberFormat="1" applyFont="1" applyBorder="1" applyAlignment="1">
      <alignment horizontal="left" vertical="top" wrapText="1"/>
    </xf>
    <xf numFmtId="164" fontId="3" fillId="4" borderId="10" xfId="1" applyNumberFormat="1" applyFont="1" applyFill="1" applyBorder="1" applyAlignment="1">
      <alignment vertical="top"/>
    </xf>
    <xf numFmtId="4" fontId="3" fillId="0" borderId="11" xfId="0" applyNumberFormat="1" applyFont="1" applyBorder="1" applyAlignment="1">
      <alignment horizontal="left" vertical="top" wrapText="1"/>
    </xf>
    <xf numFmtId="164" fontId="3" fillId="2" borderId="0" xfId="1" applyNumberFormat="1" applyFont="1" applyFill="1" applyBorder="1" applyAlignment="1">
      <alignment horizontal="left" vertical="top" wrapText="1"/>
    </xf>
    <xf numFmtId="164" fontId="3" fillId="0" borderId="0" xfId="1" applyNumberFormat="1" applyFont="1" applyBorder="1" applyAlignment="1">
      <alignment horizontal="left" vertical="top" wrapText="1"/>
    </xf>
    <xf numFmtId="164" fontId="3" fillId="3" borderId="0" xfId="1" applyNumberFormat="1" applyFont="1" applyFill="1" applyBorder="1" applyAlignment="1">
      <alignment horizontal="left" vertical="top" wrapText="1"/>
    </xf>
    <xf numFmtId="164" fontId="3" fillId="4" borderId="10" xfId="1" applyNumberFormat="1" applyFont="1" applyFill="1" applyBorder="1" applyAlignment="1">
      <alignment horizontal="right" vertical="top"/>
    </xf>
    <xf numFmtId="4" fontId="3" fillId="0" borderId="12" xfId="0" applyNumberFormat="1" applyFont="1" applyBorder="1" applyAlignment="1">
      <alignment horizontal="left" vertical="top" wrapText="1"/>
    </xf>
    <xf numFmtId="4" fontId="4" fillId="0" borderId="12" xfId="0" applyNumberFormat="1" applyFont="1" applyBorder="1" applyAlignment="1">
      <alignment horizontal="left" vertical="top" wrapText="1"/>
    </xf>
    <xf numFmtId="164" fontId="4" fillId="2" borderId="13" xfId="1" applyNumberFormat="1" applyFont="1" applyFill="1" applyBorder="1" applyAlignment="1">
      <alignment horizontal="left" vertical="top" wrapText="1"/>
    </xf>
    <xf numFmtId="164" fontId="4" fillId="0" borderId="13" xfId="1" applyNumberFormat="1" applyFont="1" applyBorder="1" applyAlignment="1">
      <alignment horizontal="left" vertical="top" wrapText="1"/>
    </xf>
    <xf numFmtId="164" fontId="4" fillId="3" borderId="13" xfId="1" applyNumberFormat="1" applyFont="1" applyFill="1" applyBorder="1" applyAlignment="1">
      <alignment horizontal="left" vertical="top" wrapText="1"/>
    </xf>
    <xf numFmtId="164" fontId="4" fillId="4" borderId="14" xfId="1" applyNumberFormat="1" applyFont="1" applyFill="1" applyBorder="1" applyAlignment="1">
      <alignment horizontal="right" vertical="top"/>
    </xf>
    <xf numFmtId="4" fontId="4" fillId="0" borderId="15" xfId="0" applyNumberFormat="1" applyFont="1" applyBorder="1" applyAlignment="1">
      <alignment horizontal="left" vertical="top" wrapText="1"/>
    </xf>
    <xf numFmtId="164" fontId="4" fillId="2" borderId="16" xfId="1" applyNumberFormat="1" applyFont="1" applyFill="1" applyBorder="1" applyAlignment="1">
      <alignment horizontal="left" vertical="top" wrapText="1"/>
    </xf>
    <xf numFmtId="164" fontId="4" fillId="0" borderId="16" xfId="1" applyNumberFormat="1" applyFont="1" applyBorder="1" applyAlignment="1">
      <alignment horizontal="left" vertical="top" wrapText="1"/>
    </xf>
    <xf numFmtId="164" fontId="4" fillId="3" borderId="16" xfId="1" applyNumberFormat="1" applyFont="1" applyFill="1" applyBorder="1" applyAlignment="1">
      <alignment horizontal="left" vertical="top" wrapText="1"/>
    </xf>
    <xf numFmtId="164" fontId="4" fillId="4" borderId="17" xfId="1" applyNumberFormat="1" applyFont="1" applyFill="1" applyBorder="1" applyAlignment="1">
      <alignment horizontal="right" vertical="top"/>
    </xf>
    <xf numFmtId="0" fontId="3" fillId="0" borderId="0" xfId="0" applyFont="1" applyAlignment="1">
      <alignment vertical="top" wrapText="1"/>
    </xf>
    <xf numFmtId="164" fontId="3" fillId="0" borderId="0" xfId="1" applyNumberFormat="1" applyFont="1" applyAlignment="1">
      <alignment vertical="top" wrapText="1"/>
    </xf>
    <xf numFmtId="165" fontId="3" fillId="0" borderId="0" xfId="2" applyNumberFormat="1" applyFont="1" applyAlignment="1">
      <alignment vertical="top"/>
    </xf>
    <xf numFmtId="165" fontId="0" fillId="0" borderId="0" xfId="2" applyNumberFormat="1" applyFont="1" applyAlignment="1">
      <alignment vertical="top"/>
    </xf>
    <xf numFmtId="0" fontId="10" fillId="5" borderId="11" xfId="0" applyFont="1" applyFill="1" applyBorder="1" applyAlignment="1">
      <alignment horizontal="right" vertical="top"/>
    </xf>
    <xf numFmtId="0" fontId="5" fillId="5" borderId="11" xfId="0" applyFont="1" applyFill="1" applyBorder="1" applyAlignment="1">
      <alignment horizontal="right" vertical="top"/>
    </xf>
    <xf numFmtId="0" fontId="5" fillId="5" borderId="21" xfId="0" applyFont="1" applyFill="1" applyBorder="1" applyAlignment="1">
      <alignment horizontal="right" vertical="top"/>
    </xf>
    <xf numFmtId="0" fontId="0" fillId="0" borderId="18" xfId="0" applyBorder="1" applyAlignment="1">
      <alignment vertical="top" wrapText="1"/>
    </xf>
    <xf numFmtId="0" fontId="0" fillId="0" borderId="0" xfId="0" applyAlignment="1">
      <alignment vertical="top" wrapText="1"/>
    </xf>
    <xf numFmtId="164" fontId="12" fillId="0" borderId="0" xfId="1" applyNumberFormat="1" applyFont="1" applyAlignment="1">
      <alignment vertical="top" wrapText="1"/>
    </xf>
    <xf numFmtId="165" fontId="12" fillId="0" borderId="0" xfId="2" applyNumberFormat="1" applyFont="1" applyAlignment="1">
      <alignment vertical="top" wrapText="1"/>
    </xf>
    <xf numFmtId="0" fontId="12" fillId="0" borderId="0" xfId="0" applyFont="1" applyAlignment="1">
      <alignment horizontal="center" wrapText="1"/>
    </xf>
    <xf numFmtId="0" fontId="12" fillId="0" borderId="0" xfId="0" applyFont="1"/>
    <xf numFmtId="43" fontId="12" fillId="0" borderId="0" xfId="0" applyNumberFormat="1" applyFont="1"/>
    <xf numFmtId="0" fontId="15" fillId="0" borderId="0" xfId="0" applyFont="1"/>
    <xf numFmtId="0" fontId="16" fillId="0" borderId="0" xfId="0" applyFont="1"/>
    <xf numFmtId="0" fontId="11" fillId="0" borderId="0" xfId="0" applyFont="1"/>
    <xf numFmtId="164" fontId="0" fillId="2" borderId="0" xfId="1" applyNumberFormat="1" applyFont="1" applyFill="1" applyAlignment="1">
      <alignment vertical="top" wrapText="1"/>
    </xf>
    <xf numFmtId="165" fontId="12" fillId="0" borderId="0" xfId="0" applyNumberFormat="1" applyFont="1"/>
    <xf numFmtId="165" fontId="17" fillId="0" borderId="0" xfId="2" applyNumberFormat="1" applyFont="1" applyFill="1" applyBorder="1" applyAlignment="1">
      <alignment horizontal="center" wrapText="1"/>
    </xf>
    <xf numFmtId="165" fontId="18" fillId="0" borderId="0" xfId="2" applyNumberFormat="1" applyFont="1" applyFill="1" applyBorder="1" applyAlignment="1">
      <alignment vertical="top"/>
    </xf>
    <xf numFmtId="165" fontId="17" fillId="0" borderId="0" xfId="2" applyNumberFormat="1" applyFont="1" applyFill="1" applyBorder="1" applyAlignment="1">
      <alignment horizontal="right" vertical="top"/>
    </xf>
    <xf numFmtId="164" fontId="17" fillId="0" borderId="0" xfId="1" applyNumberFormat="1" applyFont="1" applyFill="1" applyBorder="1" applyAlignment="1">
      <alignment horizontal="right" vertical="top"/>
    </xf>
    <xf numFmtId="164" fontId="18" fillId="0" borderId="0" xfId="1" applyNumberFormat="1" applyFont="1" applyFill="1" applyBorder="1" applyAlignment="1">
      <alignment vertical="top"/>
    </xf>
    <xf numFmtId="164" fontId="18" fillId="0" borderId="0" xfId="1" applyNumberFormat="1" applyFont="1" applyFill="1" applyBorder="1" applyAlignment="1">
      <alignment horizontal="right" vertical="top"/>
    </xf>
    <xf numFmtId="165" fontId="18" fillId="0" borderId="0" xfId="2" applyNumberFormat="1" applyFont="1" applyFill="1" applyAlignment="1">
      <alignment vertical="top"/>
    </xf>
    <xf numFmtId="165" fontId="15" fillId="0" borderId="0" xfId="2" applyNumberFormat="1" applyFont="1" applyFill="1" applyAlignment="1">
      <alignment vertical="top"/>
    </xf>
    <xf numFmtId="14" fontId="21" fillId="0" borderId="0" xfId="3" applyNumberFormat="1" applyFont="1" applyAlignment="1">
      <alignment horizontal="centerContinuous"/>
    </xf>
    <xf numFmtId="43" fontId="0" fillId="0" borderId="0" xfId="3" applyFont="1"/>
    <xf numFmtId="165" fontId="0" fillId="0" borderId="0" xfId="2" applyNumberFormat="1" applyFont="1"/>
    <xf numFmtId="165" fontId="0" fillId="0" borderId="0" xfId="2" applyNumberFormat="1" applyFont="1" applyAlignment="1">
      <alignment horizontal="centerContinuous"/>
    </xf>
    <xf numFmtId="43" fontId="0" fillId="0" borderId="0" xfId="3" applyFont="1" applyAlignment="1">
      <alignment horizontal="center"/>
    </xf>
    <xf numFmtId="44" fontId="0" fillId="0" borderId="0" xfId="2" applyFont="1"/>
    <xf numFmtId="0" fontId="4" fillId="0" borderId="22" xfId="0" applyFont="1" applyBorder="1" applyAlignment="1">
      <alignment vertical="center" wrapText="1"/>
    </xf>
    <xf numFmtId="43" fontId="4" fillId="0" borderId="22" xfId="3" applyFont="1" applyBorder="1" applyAlignment="1">
      <alignment vertical="center" wrapText="1"/>
    </xf>
    <xf numFmtId="165" fontId="4" fillId="0" borderId="22" xfId="2" applyNumberFormat="1" applyFont="1" applyBorder="1" applyAlignment="1">
      <alignment horizontal="center" vertical="center" wrapText="1"/>
    </xf>
    <xf numFmtId="43" fontId="4" fillId="0" borderId="22" xfId="3" applyFont="1" applyBorder="1" applyAlignment="1">
      <alignment horizontal="center" vertical="center" wrapText="1"/>
    </xf>
    <xf numFmtId="0" fontId="19" fillId="0" borderId="0" xfId="0" applyFont="1" applyAlignment="1">
      <alignment horizontal="center" vertical="center" wrapText="1"/>
    </xf>
    <xf numFmtId="0" fontId="0" fillId="0" borderId="0" xfId="0" applyAlignment="1">
      <alignment vertical="center" wrapText="1"/>
    </xf>
    <xf numFmtId="0" fontId="0" fillId="0" borderId="22" xfId="0" applyBorder="1"/>
    <xf numFmtId="43" fontId="0" fillId="0" borderId="22" xfId="3" applyFont="1" applyBorder="1"/>
    <xf numFmtId="165" fontId="0" fillId="0" borderId="22" xfId="2" applyNumberFormat="1" applyFont="1" applyBorder="1"/>
    <xf numFmtId="165" fontId="0" fillId="0" borderId="22" xfId="2" applyNumberFormat="1" applyFont="1" applyBorder="1" applyAlignment="1">
      <alignment vertical="center"/>
    </xf>
    <xf numFmtId="165" fontId="0" fillId="0" borderId="0" xfId="0" applyNumberFormat="1"/>
    <xf numFmtId="43" fontId="0" fillId="0" borderId="22" xfId="3" applyFont="1" applyBorder="1" applyAlignment="1">
      <alignment vertical="center"/>
    </xf>
    <xf numFmtId="43" fontId="3" fillId="0" borderId="22" xfId="3" applyFont="1" applyBorder="1"/>
    <xf numFmtId="0" fontId="22" fillId="0" borderId="0" xfId="0" applyFont="1"/>
    <xf numFmtId="43" fontId="0" fillId="0" borderId="18" xfId="3" applyFont="1" applyBorder="1"/>
    <xf numFmtId="165" fontId="0" fillId="0" borderId="18" xfId="2" applyNumberFormat="1" applyFont="1" applyBorder="1"/>
    <xf numFmtId="43" fontId="0" fillId="0" borderId="23" xfId="3" applyFont="1" applyBorder="1"/>
    <xf numFmtId="0" fontId="0" fillId="0" borderId="24" xfId="0" applyBorder="1"/>
    <xf numFmtId="0" fontId="23" fillId="5" borderId="0" xfId="0" applyFont="1" applyFill="1" applyAlignment="1">
      <alignment horizontal="left" vertical="top" wrapText="1"/>
    </xf>
    <xf numFmtId="164" fontId="23" fillId="2" borderId="0" xfId="1" applyNumberFormat="1" applyFont="1" applyFill="1" applyBorder="1" applyAlignment="1">
      <alignment horizontal="left" vertical="top" wrapText="1"/>
    </xf>
    <xf numFmtId="164" fontId="23" fillId="0" borderId="0" xfId="1" applyNumberFormat="1" applyFont="1" applyFill="1" applyBorder="1" applyAlignment="1">
      <alignment horizontal="left" vertical="top" wrapText="1"/>
    </xf>
    <xf numFmtId="164" fontId="23" fillId="5" borderId="0" xfId="1" applyNumberFormat="1" applyFont="1" applyFill="1" applyBorder="1" applyAlignment="1">
      <alignment horizontal="left" vertical="top" wrapText="1"/>
    </xf>
    <xf numFmtId="0" fontId="24" fillId="0" borderId="0" xfId="0" applyFont="1"/>
    <xf numFmtId="0" fontId="25" fillId="0" borderId="0" xfId="0" applyFont="1"/>
    <xf numFmtId="0" fontId="26" fillId="5" borderId="0" xfId="0" applyFont="1" applyFill="1" applyAlignment="1">
      <alignment horizontal="center" vertical="center" wrapText="1"/>
    </xf>
    <xf numFmtId="165" fontId="27" fillId="0" borderId="0" xfId="2" applyNumberFormat="1" applyFont="1" applyFill="1" applyBorder="1" applyAlignment="1">
      <alignment horizontal="center" vertical="center"/>
    </xf>
    <xf numFmtId="43" fontId="4" fillId="6" borderId="22" xfId="1" applyFont="1" applyFill="1" applyBorder="1" applyAlignment="1">
      <alignment horizontal="center" vertical="center" wrapText="1"/>
    </xf>
    <xf numFmtId="43" fontId="0" fillId="6" borderId="22" xfId="1" applyFont="1" applyFill="1" applyBorder="1"/>
    <xf numFmtId="0" fontId="28" fillId="0" borderId="0" xfId="0" applyFont="1"/>
    <xf numFmtId="164" fontId="0" fillId="0" borderId="0" xfId="1" quotePrefix="1" applyNumberFormat="1" applyFont="1" applyAlignment="1">
      <alignment vertical="top"/>
    </xf>
    <xf numFmtId="164" fontId="0" fillId="0" borderId="0" xfId="1" applyNumberFormat="1" applyFont="1" applyAlignment="1">
      <alignment vertical="top"/>
    </xf>
    <xf numFmtId="43" fontId="18" fillId="0" borderId="0" xfId="1" applyFont="1" applyFill="1" applyBorder="1" applyAlignment="1">
      <alignment horizontal="right" vertical="top"/>
    </xf>
    <xf numFmtId="43" fontId="0" fillId="0" borderId="0" xfId="1" applyFont="1"/>
    <xf numFmtId="0" fontId="34" fillId="0" borderId="25" xfId="5" applyFont="1" applyAlignment="1">
      <alignment horizontal="center" wrapText="1"/>
    </xf>
    <xf numFmtId="0" fontId="35" fillId="0" borderId="0" xfId="0" applyFont="1" applyAlignment="1">
      <alignment horizontal="left" wrapText="1"/>
    </xf>
    <xf numFmtId="0" fontId="35" fillId="0" borderId="0" xfId="0" applyFont="1" applyAlignment="1">
      <alignment horizontal="left" wrapText="1" indent="1"/>
    </xf>
    <xf numFmtId="4" fontId="35" fillId="0" borderId="0" xfId="0" applyNumberFormat="1" applyFont="1" applyAlignment="1">
      <alignment wrapText="1"/>
    </xf>
    <xf numFmtId="0" fontId="35" fillId="0" borderId="0" xfId="0" applyFont="1" applyAlignment="1">
      <alignment horizontal="left" wrapText="1" indent="2"/>
    </xf>
    <xf numFmtId="0" fontId="36" fillId="0" borderId="0" xfId="0" applyFont="1" applyAlignment="1">
      <alignment horizontal="left" wrapText="1" indent="1"/>
    </xf>
    <xf numFmtId="166" fontId="36" fillId="0" borderId="26" xfId="0" applyNumberFormat="1" applyFont="1" applyBorder="1" applyAlignment="1">
      <alignment wrapText="1"/>
    </xf>
    <xf numFmtId="0" fontId="36" fillId="0" borderId="0" xfId="0" applyFont="1" applyAlignment="1">
      <alignment horizontal="left" wrapText="1"/>
    </xf>
    <xf numFmtId="0" fontId="35" fillId="0" borderId="0" xfId="0" applyFont="1" applyAlignment="1">
      <alignment wrapText="1"/>
    </xf>
    <xf numFmtId="4" fontId="0" fillId="0" borderId="0" xfId="0" applyNumberFormat="1"/>
    <xf numFmtId="43" fontId="0" fillId="0" borderId="0" xfId="0" applyNumberFormat="1"/>
    <xf numFmtId="164" fontId="0" fillId="0" borderId="0" xfId="1" applyNumberFormat="1" applyFont="1"/>
    <xf numFmtId="43" fontId="12" fillId="0" borderId="0" xfId="1" applyFont="1"/>
    <xf numFmtId="44" fontId="0" fillId="0" borderId="22" xfId="2" applyFont="1" applyBorder="1"/>
    <xf numFmtId="43" fontId="0" fillId="0" borderId="22" xfId="1" applyFont="1" applyBorder="1"/>
    <xf numFmtId="2" fontId="0" fillId="0" borderId="0" xfId="0" applyNumberFormat="1"/>
    <xf numFmtId="165" fontId="11" fillId="5" borderId="0" xfId="2" applyNumberFormat="1" applyFont="1" applyFill="1" applyBorder="1" applyAlignment="1">
      <alignment horizontal="center" vertical="top"/>
    </xf>
    <xf numFmtId="165" fontId="11" fillId="5" borderId="10" xfId="2" applyNumberFormat="1" applyFont="1" applyFill="1" applyBorder="1" applyAlignment="1">
      <alignment horizontal="center" vertical="top"/>
    </xf>
    <xf numFmtId="164" fontId="0" fillId="0" borderId="19" xfId="1" applyNumberFormat="1" applyFont="1" applyBorder="1" applyAlignment="1">
      <alignment horizontal="center" vertical="top" wrapText="1"/>
    </xf>
    <xf numFmtId="164" fontId="0" fillId="0" borderId="20" xfId="1" applyNumberFormat="1" applyFont="1" applyBorder="1" applyAlignment="1">
      <alignment horizontal="center" vertical="top" wrapText="1"/>
    </xf>
    <xf numFmtId="0" fontId="9" fillId="0" borderId="18" xfId="0" applyFont="1" applyBorder="1" applyAlignment="1">
      <alignment horizontal="center" vertical="top" wrapText="1"/>
    </xf>
    <xf numFmtId="0" fontId="9" fillId="0" borderId="19" xfId="0" applyFont="1" applyBorder="1" applyAlignment="1">
      <alignment horizontal="center" vertical="top" wrapText="1"/>
    </xf>
    <xf numFmtId="0" fontId="9" fillId="0" borderId="20" xfId="0" applyFont="1" applyBorder="1" applyAlignment="1">
      <alignment horizontal="center" vertical="top" wrapText="1"/>
    </xf>
    <xf numFmtId="0" fontId="30" fillId="0" borderId="0" xfId="0" applyFont="1" applyAlignment="1">
      <alignment horizontal="center" wrapText="1"/>
    </xf>
    <xf numFmtId="0" fontId="0" fillId="0" borderId="0" xfId="0" applyAlignment="1">
      <alignment wrapText="1"/>
    </xf>
    <xf numFmtId="0" fontId="31" fillId="0" borderId="0" xfId="0" applyFont="1" applyAlignment="1">
      <alignment horizontal="center" wrapText="1"/>
    </xf>
    <xf numFmtId="0" fontId="32" fillId="0" borderId="0" xfId="0" applyFont="1" applyAlignment="1">
      <alignment horizontal="center" wrapText="1"/>
    </xf>
    <xf numFmtId="0" fontId="35" fillId="0" borderId="0" xfId="0" applyFont="1" applyAlignment="1">
      <alignment horizontal="center" wrapText="1"/>
    </xf>
  </cellXfs>
  <cellStyles count="6">
    <cellStyle name="Comma" xfId="1" builtinId="3"/>
    <cellStyle name="Comma 2" xfId="3" xr:uid="{D31ED594-9EE2-49BD-9B22-B63D85872D0A}"/>
    <cellStyle name="Currency" xfId="2" builtinId="4"/>
    <cellStyle name="HeaderCellStyle" xfId="5" xr:uid="{C686C468-229D-4F40-8815-D17A9670D701}"/>
    <cellStyle name="Normal" xfId="0" builtinId="0"/>
    <cellStyle name="Normal 2" xfId="4" xr:uid="{916DE9D9-2DAA-4BC9-8E67-6514FD2562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57150</xdr:colOff>
      <xdr:row>85</xdr:row>
      <xdr:rowOff>190498</xdr:rowOff>
    </xdr:from>
    <xdr:to>
      <xdr:col>15</xdr:col>
      <xdr:colOff>504825</xdr:colOff>
      <xdr:row>100</xdr:row>
      <xdr:rowOff>190499</xdr:rowOff>
    </xdr:to>
    <xdr:sp macro="" textlink="">
      <xdr:nvSpPr>
        <xdr:cNvPr id="3" name="TextBox 2">
          <a:extLst>
            <a:ext uri="{FF2B5EF4-FFF2-40B4-BE49-F238E27FC236}">
              <a16:creationId xmlns:a16="http://schemas.microsoft.com/office/drawing/2014/main" id="{9FB60EBC-80B3-4A85-AE41-F68A65F030C0}"/>
            </a:ext>
          </a:extLst>
        </xdr:cNvPr>
        <xdr:cNvSpPr txBox="1"/>
      </xdr:nvSpPr>
      <xdr:spPr>
        <a:xfrm>
          <a:off x="57150" y="16373473"/>
          <a:ext cx="8401050" cy="2857501"/>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Treasurer General Notes:</a:t>
          </a:r>
        </a:p>
        <a:p>
          <a:pPr marL="171450" indent="-171450">
            <a:buFont typeface="Arial" panose="020B0604020202020204" pitchFamily="34" charset="0"/>
            <a:buChar char="•"/>
          </a:pPr>
          <a:r>
            <a:rPr lang="en-US" sz="1100"/>
            <a:t>Each</a:t>
          </a:r>
          <a:r>
            <a:rPr lang="en-US" sz="1100" baseline="0"/>
            <a:t> year should ideally end with no less than $7000 in the checking account, mostly to cover the school supplies purchased over the summer by the school supply coordinator and the teacher reimbursements that come in as soon as school begins. Beaverton Christian Church gives us a donation each fall roughly around $7000 to help pay for those student school supplies. HOWEVER, they let us know in 2023 that they may not be able to do this much longer so we need to be prepared to cover that amount ourselves and they usually don't give us the check until late sept/early October. </a:t>
          </a:r>
        </a:p>
        <a:p>
          <a:pPr marL="171450" indent="-171450">
            <a:buFont typeface="Arial" panose="020B0604020202020204" pitchFamily="34" charset="0"/>
            <a:buChar char="•"/>
          </a:pPr>
          <a:r>
            <a:rPr lang="en-US" sz="1100" baseline="0"/>
            <a:t>The amount we spend/budget for library expenses is determined by the previous years book fair proceeds/Mrs. Donnelly.  We "hold" the proceeds for her and it becomes her budget for the next year. For example, if we make $5000 from one of the fairs, scholastic will send us a bill for how much we owe them out of our proceeds and then the remaining proceeds are divided into a Scholastic Spending Credit for Mrs. Donnelly to buy books from them,  and then the remainder we get to hold onto in cash, which then becomes part of the library budget for the following year.  In the 22/23 year she requested $1500 cash proceeds from scholastic from each book fair for a total of $3000. This is a "use it or lose it" category... if she doesn't spend it all by the end of the year, its gone and does not roll over to the next year. </a:t>
          </a:r>
        </a:p>
        <a:p>
          <a:pPr marL="171450" indent="-171450">
            <a:buFont typeface="Arial" panose="020B0604020202020204" pitchFamily="34" charset="0"/>
            <a:buChar char="•"/>
          </a:pPr>
          <a:r>
            <a:rPr lang="en-US" sz="1100" baseline="0"/>
            <a:t>Monthly first Wednesday staff appreciation max reimbursement is $100 - voted on by the board in feb 2024.</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824A-C115-4569-8037-EA9A385FA1FB}">
  <sheetPr>
    <pageSetUpPr fitToPage="1"/>
  </sheetPr>
  <dimension ref="A1:W80"/>
  <sheetViews>
    <sheetView tabSelected="1" workbookViewId="0">
      <pane ySplit="1" topLeftCell="A34" activePane="bottomLeft" state="frozen"/>
      <selection pane="bottomLeft" activeCell="M47" sqref="M47"/>
    </sheetView>
  </sheetViews>
  <sheetFormatPr defaultRowHeight="15" x14ac:dyDescent="0.25"/>
  <cols>
    <col min="1" max="1" width="37.140625" style="72" customWidth="1"/>
    <col min="2" max="2" width="4.7109375" style="16" bestFit="1" customWidth="1"/>
    <col min="3" max="3" width="8.85546875" style="16" customWidth="1"/>
    <col min="4" max="4" width="7.42578125" style="16" bestFit="1" customWidth="1"/>
    <col min="5" max="6" width="8" style="16" customWidth="1"/>
    <col min="7" max="7" width="6.42578125" style="16" bestFit="1" customWidth="1"/>
    <col min="8" max="10" width="6.7109375" style="16" customWidth="1"/>
    <col min="11" max="11" width="6.140625" style="16" customWidth="1"/>
    <col min="12" max="12" width="7.42578125" style="16" bestFit="1" customWidth="1"/>
    <col min="13" max="13" width="7.140625" style="16" customWidth="1"/>
    <col min="14" max="14" width="8" style="16" customWidth="1"/>
    <col min="15" max="15" width="9" style="67" bestFit="1" customWidth="1"/>
    <col min="16" max="16" width="8.140625" style="90" bestFit="1" customWidth="1"/>
    <col min="17" max="17" width="9.140625" style="90" bestFit="1" customWidth="1"/>
    <col min="18" max="18" width="9.140625" style="76"/>
  </cols>
  <sheetData>
    <row r="1" spans="1:23" s="5" customFormat="1" ht="36.75" x14ac:dyDescent="0.25">
      <c r="A1" s="1"/>
      <c r="B1" s="2" t="s">
        <v>0</v>
      </c>
      <c r="C1" s="2" t="s">
        <v>1</v>
      </c>
      <c r="D1" s="2" t="s">
        <v>2</v>
      </c>
      <c r="E1" s="2" t="s">
        <v>3</v>
      </c>
      <c r="F1" s="2" t="s">
        <v>4</v>
      </c>
      <c r="G1" s="2" t="s">
        <v>5</v>
      </c>
      <c r="H1" s="2" t="s">
        <v>6</v>
      </c>
      <c r="I1" s="2" t="s">
        <v>7</v>
      </c>
      <c r="J1" s="2" t="s">
        <v>8</v>
      </c>
      <c r="K1" s="2" t="s">
        <v>9</v>
      </c>
      <c r="L1" s="2" t="s">
        <v>10</v>
      </c>
      <c r="M1" s="2" t="s">
        <v>11</v>
      </c>
      <c r="N1" s="3" t="s">
        <v>12</v>
      </c>
      <c r="O1" s="4" t="s">
        <v>13</v>
      </c>
      <c r="P1" s="83" t="s">
        <v>14</v>
      </c>
      <c r="Q1" s="83"/>
      <c r="R1" s="75"/>
    </row>
    <row r="2" spans="1:23" x14ac:dyDescent="0.25">
      <c r="A2" s="6" t="s">
        <v>15</v>
      </c>
      <c r="B2" s="7"/>
      <c r="C2" s="8"/>
      <c r="D2" s="7"/>
      <c r="E2" s="8"/>
      <c r="F2" s="7"/>
      <c r="G2" s="8"/>
      <c r="H2" s="7"/>
      <c r="I2" s="8"/>
      <c r="J2" s="7"/>
      <c r="K2" s="8"/>
      <c r="L2" s="7"/>
      <c r="M2" s="8"/>
      <c r="N2" s="9"/>
      <c r="O2" s="10"/>
      <c r="P2" s="84"/>
      <c r="Q2" s="84"/>
    </row>
    <row r="3" spans="1:23" x14ac:dyDescent="0.25">
      <c r="A3" s="12" t="s">
        <v>16</v>
      </c>
      <c r="B3" s="13"/>
      <c r="C3" s="14"/>
      <c r="D3" s="13"/>
      <c r="E3" s="14"/>
      <c r="F3" s="13">
        <v>399.75</v>
      </c>
      <c r="G3" s="14"/>
      <c r="H3" s="13"/>
      <c r="I3" s="14"/>
      <c r="J3" s="13">
        <f>28+68.18+325+491.22+0.8</f>
        <v>913.2</v>
      </c>
      <c r="K3" s="14">
        <f>207.25+92.53</f>
        <v>299.77999999999997</v>
      </c>
      <c r="L3" s="13">
        <f>20+102.73+337+5+5+5+14.46</f>
        <v>489.19</v>
      </c>
      <c r="M3" s="14">
        <f>20+18+31.75</f>
        <v>69.75</v>
      </c>
      <c r="N3" s="15">
        <f>SUM(B3:M3)</f>
        <v>2171.67</v>
      </c>
      <c r="O3" s="10">
        <v>300</v>
      </c>
      <c r="P3" s="84">
        <f>N3-O3</f>
        <v>1871.67</v>
      </c>
      <c r="Q3" s="84"/>
    </row>
    <row r="4" spans="1:23" x14ac:dyDescent="0.25">
      <c r="A4" s="12" t="s">
        <v>17</v>
      </c>
      <c r="B4" s="13"/>
      <c r="C4" s="14"/>
      <c r="D4" s="13"/>
      <c r="E4" s="14"/>
      <c r="F4" s="13">
        <f>1471.91-263.87</f>
        <v>1208.04</v>
      </c>
      <c r="G4" s="14"/>
      <c r="H4" s="13"/>
      <c r="I4" s="14"/>
      <c r="J4" s="13"/>
      <c r="K4" s="14"/>
      <c r="L4" s="13">
        <f>1712.74-387.23</f>
        <v>1325.51</v>
      </c>
      <c r="M4" s="14"/>
      <c r="N4" s="15">
        <f t="shared" ref="N4:N12" si="0">SUM(B4:M4)</f>
        <v>2533.5500000000002</v>
      </c>
      <c r="O4" s="10">
        <v>2000</v>
      </c>
      <c r="P4" s="84">
        <f t="shared" ref="P4:P13" si="1">N4-O4</f>
        <v>533.55000000000018</v>
      </c>
      <c r="Q4" s="84"/>
      <c r="R4" s="142"/>
    </row>
    <row r="5" spans="1:23" x14ac:dyDescent="0.25">
      <c r="A5" s="12" t="s">
        <v>18</v>
      </c>
      <c r="B5" s="13"/>
      <c r="C5" s="14">
        <v>450</v>
      </c>
      <c r="D5" s="13"/>
      <c r="E5" s="14">
        <v>788.16</v>
      </c>
      <c r="F5" s="13"/>
      <c r="G5" s="14"/>
      <c r="H5" s="13"/>
      <c r="J5" s="13">
        <v>700</v>
      </c>
      <c r="K5" s="14">
        <v>400</v>
      </c>
      <c r="L5" s="13"/>
      <c r="M5" s="14">
        <v>200</v>
      </c>
      <c r="N5" s="15">
        <f t="shared" si="0"/>
        <v>2538.16</v>
      </c>
      <c r="O5" s="10">
        <v>2200</v>
      </c>
      <c r="P5" s="84">
        <f t="shared" si="1"/>
        <v>338.15999999999985</v>
      </c>
      <c r="Q5" s="84"/>
      <c r="R5" s="142"/>
    </row>
    <row r="6" spans="1:23" x14ac:dyDescent="0.25">
      <c r="A6" s="12" t="s">
        <v>19</v>
      </c>
      <c r="B6" s="13"/>
      <c r="C6" s="14"/>
      <c r="D6" s="13"/>
      <c r="E6" s="14"/>
      <c r="F6" s="13"/>
      <c r="G6" s="14"/>
      <c r="H6" s="13">
        <v>75.3</v>
      </c>
      <c r="I6" s="14"/>
      <c r="J6" s="13"/>
      <c r="K6" s="14"/>
      <c r="L6" s="13">
        <v>57.7</v>
      </c>
      <c r="M6" s="14"/>
      <c r="N6" s="15">
        <f t="shared" si="0"/>
        <v>133</v>
      </c>
      <c r="O6" s="10">
        <v>100</v>
      </c>
      <c r="P6" s="84">
        <f t="shared" si="1"/>
        <v>33</v>
      </c>
      <c r="Q6" s="84"/>
    </row>
    <row r="7" spans="1:23" x14ac:dyDescent="0.25">
      <c r="A7" s="12" t="s">
        <v>20</v>
      </c>
      <c r="B7" s="13"/>
      <c r="C7" s="14"/>
      <c r="D7" s="13"/>
      <c r="E7" s="17">
        <f>50+28921.74+2521+827.25+175+35+100</f>
        <v>32629.99</v>
      </c>
      <c r="F7" s="13">
        <f>25+60.08+20+20</f>
        <v>125.08</v>
      </c>
      <c r="G7" s="14"/>
      <c r="H7" s="13"/>
      <c r="I7" s="14"/>
      <c r="J7" s="13"/>
      <c r="K7" s="14"/>
      <c r="L7" s="13"/>
      <c r="M7" s="14"/>
      <c r="N7" s="15">
        <f>SUM(B7:M7)</f>
        <v>32755.070000000003</v>
      </c>
      <c r="O7" s="10">
        <v>26000</v>
      </c>
      <c r="P7" s="84">
        <f t="shared" si="1"/>
        <v>6755.0700000000033</v>
      </c>
      <c r="Q7" s="84"/>
    </row>
    <row r="8" spans="1:23" x14ac:dyDescent="0.25">
      <c r="A8" s="12" t="s">
        <v>21</v>
      </c>
      <c r="B8" s="13"/>
      <c r="C8" s="14"/>
      <c r="D8" s="13"/>
      <c r="E8" s="14"/>
      <c r="F8" s="13"/>
      <c r="G8" s="14"/>
      <c r="H8" s="13">
        <v>250</v>
      </c>
      <c r="I8" s="14">
        <f>48.51</f>
        <v>48.51</v>
      </c>
      <c r="J8" s="13">
        <f>20+250</f>
        <v>270</v>
      </c>
      <c r="K8" s="14">
        <v>100</v>
      </c>
      <c r="L8" s="13">
        <v>196.4</v>
      </c>
      <c r="M8" s="14">
        <v>200</v>
      </c>
      <c r="N8" s="15">
        <f t="shared" si="0"/>
        <v>1064.9099999999999</v>
      </c>
      <c r="O8" s="10">
        <v>1400</v>
      </c>
      <c r="P8" s="84">
        <f t="shared" si="1"/>
        <v>-335.09000000000015</v>
      </c>
      <c r="Q8" s="84"/>
    </row>
    <row r="9" spans="1:23" x14ac:dyDescent="0.25">
      <c r="A9" s="12" t="s">
        <v>22</v>
      </c>
      <c r="B9" s="13"/>
      <c r="C9" s="14"/>
      <c r="D9" s="13"/>
      <c r="E9" s="14"/>
      <c r="F9" s="13"/>
      <c r="G9" s="14">
        <v>251.53</v>
      </c>
      <c r="H9" s="13">
        <v>98</v>
      </c>
      <c r="I9" s="14">
        <f>420+243+100</f>
        <v>763</v>
      </c>
      <c r="J9" s="13"/>
      <c r="K9" s="14"/>
      <c r="L9" s="13"/>
      <c r="M9" s="14"/>
      <c r="N9" s="15">
        <f t="shared" si="0"/>
        <v>1112.53</v>
      </c>
      <c r="O9" s="10">
        <v>600</v>
      </c>
      <c r="P9" s="84">
        <f t="shared" si="1"/>
        <v>512.53</v>
      </c>
      <c r="Q9" s="84"/>
    </row>
    <row r="10" spans="1:23" x14ac:dyDescent="0.25">
      <c r="A10" s="12" t="s">
        <v>23</v>
      </c>
      <c r="B10" s="13"/>
      <c r="C10" s="14"/>
      <c r="D10" s="13">
        <v>177</v>
      </c>
      <c r="E10" s="14">
        <v>181.57</v>
      </c>
      <c r="F10" s="13"/>
      <c r="G10" s="14">
        <f>59.84+300+167</f>
        <v>526.84</v>
      </c>
      <c r="H10" s="13">
        <v>162.63</v>
      </c>
      <c r="I10" s="16">
        <v>534.20000000000005</v>
      </c>
      <c r="J10" s="13"/>
      <c r="K10" s="14">
        <v>241.29</v>
      </c>
      <c r="L10" s="13">
        <f>533.54+1748.5</f>
        <v>2282.04</v>
      </c>
      <c r="M10" s="14"/>
      <c r="N10" s="15">
        <f t="shared" si="0"/>
        <v>4105.57</v>
      </c>
      <c r="O10" s="10">
        <v>2400</v>
      </c>
      <c r="P10" s="84">
        <f t="shared" si="1"/>
        <v>1705.5699999999997</v>
      </c>
      <c r="Q10" s="84"/>
      <c r="R10" s="82"/>
    </row>
    <row r="11" spans="1:23" x14ac:dyDescent="0.25">
      <c r="A11" s="18" t="s">
        <v>24</v>
      </c>
      <c r="B11" s="13"/>
      <c r="C11" s="14">
        <f>119.83</f>
        <v>119.83</v>
      </c>
      <c r="D11" s="13"/>
      <c r="E11" s="14"/>
      <c r="F11" s="13">
        <v>105.53</v>
      </c>
      <c r="G11" s="14"/>
      <c r="H11" s="13">
        <v>99.2</v>
      </c>
      <c r="I11" s="14"/>
      <c r="J11" s="13"/>
      <c r="K11" s="14"/>
      <c r="L11" s="13">
        <v>135.72</v>
      </c>
      <c r="M11" s="14"/>
      <c r="N11" s="15">
        <f t="shared" si="0"/>
        <v>460.28</v>
      </c>
      <c r="O11" s="10">
        <v>450</v>
      </c>
      <c r="P11" s="84">
        <f t="shared" si="1"/>
        <v>10.279999999999973</v>
      </c>
      <c r="Q11" s="84"/>
      <c r="S11" s="19"/>
      <c r="T11" s="19"/>
      <c r="U11" s="19"/>
      <c r="W11" s="19"/>
    </row>
    <row r="12" spans="1:23" x14ac:dyDescent="0.25">
      <c r="A12" s="12" t="s">
        <v>25</v>
      </c>
      <c r="B12" s="13"/>
      <c r="C12" s="14">
        <v>589.35</v>
      </c>
      <c r="D12" s="13">
        <v>10058</v>
      </c>
      <c r="E12" s="14"/>
      <c r="F12" s="13"/>
      <c r="G12" s="14"/>
      <c r="H12" s="13"/>
      <c r="I12" s="14"/>
      <c r="J12" s="13"/>
      <c r="K12" s="14"/>
      <c r="L12" s="13"/>
      <c r="M12" s="14"/>
      <c r="N12" s="15">
        <f t="shared" si="0"/>
        <v>10647.35</v>
      </c>
      <c r="O12" s="10">
        <v>7000</v>
      </c>
      <c r="P12" s="84">
        <f t="shared" si="1"/>
        <v>3647.3500000000004</v>
      </c>
      <c r="Q12" s="84"/>
    </row>
    <row r="13" spans="1:23" x14ac:dyDescent="0.25">
      <c r="A13" s="12" t="s">
        <v>26</v>
      </c>
      <c r="B13" s="13"/>
      <c r="C13" s="14"/>
      <c r="D13" s="13"/>
      <c r="E13" s="17"/>
      <c r="F13" s="13">
        <v>144.31</v>
      </c>
      <c r="G13" s="14">
        <v>53.91</v>
      </c>
      <c r="H13" s="13">
        <v>19.11</v>
      </c>
      <c r="I13" s="14">
        <v>30</v>
      </c>
      <c r="J13" s="13">
        <v>85.38</v>
      </c>
      <c r="K13" s="14">
        <f>15+19.11+136.93</f>
        <v>171.04000000000002</v>
      </c>
      <c r="L13" s="13">
        <f>335.94+20</f>
        <v>355.94</v>
      </c>
      <c r="M13" s="14">
        <v>10</v>
      </c>
      <c r="N13" s="15">
        <f>SUM(B13:M13)</f>
        <v>869.69</v>
      </c>
      <c r="O13" s="10">
        <v>600</v>
      </c>
      <c r="P13" s="84">
        <f t="shared" si="1"/>
        <v>269.69000000000005</v>
      </c>
      <c r="Q13" s="84"/>
      <c r="R13" s="77"/>
    </row>
    <row r="14" spans="1:23" ht="15.75" thickBot="1" x14ac:dyDescent="0.3">
      <c r="A14" s="20"/>
      <c r="B14" s="21"/>
      <c r="C14" s="22"/>
      <c r="D14" s="21"/>
      <c r="E14" s="22"/>
      <c r="F14" s="21"/>
      <c r="G14" s="22"/>
      <c r="H14" s="21"/>
      <c r="I14" s="22"/>
      <c r="J14" s="21"/>
      <c r="K14" s="22"/>
      <c r="L14" s="21"/>
      <c r="M14" s="22"/>
      <c r="N14" s="23"/>
      <c r="O14" s="24"/>
      <c r="P14" s="84"/>
      <c r="Q14" s="84"/>
      <c r="R14" s="82"/>
    </row>
    <row r="15" spans="1:23" ht="15.75" thickBot="1" x14ac:dyDescent="0.3">
      <c r="A15" s="25" t="s">
        <v>27</v>
      </c>
      <c r="B15" s="26">
        <f t="shared" ref="B15:M15" si="2">SUM(B2:B14)</f>
        <v>0</v>
      </c>
      <c r="C15" s="27">
        <f t="shared" si="2"/>
        <v>1159.18</v>
      </c>
      <c r="D15" s="26">
        <f t="shared" si="2"/>
        <v>10235</v>
      </c>
      <c r="E15" s="27">
        <f t="shared" si="2"/>
        <v>33599.72</v>
      </c>
      <c r="F15" s="26">
        <f t="shared" si="2"/>
        <v>1982.7099999999998</v>
      </c>
      <c r="G15" s="27">
        <f t="shared" si="2"/>
        <v>832.28</v>
      </c>
      <c r="H15" s="26">
        <f t="shared" si="2"/>
        <v>704.24000000000012</v>
      </c>
      <c r="I15" s="27">
        <f t="shared" si="2"/>
        <v>1375.71</v>
      </c>
      <c r="J15" s="26">
        <f t="shared" si="2"/>
        <v>1968.58</v>
      </c>
      <c r="K15" s="27">
        <f t="shared" si="2"/>
        <v>1212.1099999999999</v>
      </c>
      <c r="L15" s="26">
        <f t="shared" si="2"/>
        <v>4842.5</v>
      </c>
      <c r="M15" s="27">
        <f t="shared" si="2"/>
        <v>479.75</v>
      </c>
      <c r="N15" s="28">
        <f>SUM(N3:N14)</f>
        <v>58391.78</v>
      </c>
      <c r="O15" s="29">
        <f>SUM(O3:O14)</f>
        <v>43050</v>
      </c>
      <c r="P15" s="85"/>
      <c r="Q15" s="85"/>
      <c r="R15" s="82"/>
      <c r="T15" s="107"/>
      <c r="V15" s="107"/>
    </row>
    <row r="16" spans="1:23" s="120" customFormat="1" ht="14.25" customHeight="1" x14ac:dyDescent="0.25">
      <c r="A16" s="115" t="s">
        <v>28</v>
      </c>
      <c r="B16" s="116"/>
      <c r="C16" s="117"/>
      <c r="D16" s="116"/>
      <c r="E16" s="118"/>
      <c r="F16" s="116"/>
      <c r="G16" s="118"/>
      <c r="H16" s="116"/>
      <c r="I16" s="118"/>
      <c r="J16" s="116"/>
      <c r="K16" s="118"/>
      <c r="L16" s="116"/>
      <c r="M16" s="118"/>
      <c r="N16" s="118"/>
      <c r="O16" s="121" t="s">
        <v>29</v>
      </c>
      <c r="P16" s="122"/>
      <c r="Q16" s="121" t="s">
        <v>30</v>
      </c>
      <c r="R16" s="119"/>
    </row>
    <row r="17" spans="1:18" x14ac:dyDescent="0.25">
      <c r="A17" s="12" t="s">
        <v>31</v>
      </c>
      <c r="B17" s="13"/>
      <c r="C17" s="14"/>
      <c r="D17" s="13">
        <v>665</v>
      </c>
      <c r="E17" s="14"/>
      <c r="F17" s="13"/>
      <c r="G17" s="14"/>
      <c r="H17" s="13"/>
      <c r="I17" s="14"/>
      <c r="J17" s="13"/>
      <c r="K17" s="14"/>
      <c r="L17" s="13">
        <f>604.1</f>
        <v>604.1</v>
      </c>
      <c r="M17" s="14">
        <f>530-530+1225+129.75+405.62</f>
        <v>1760.37</v>
      </c>
      <c r="N17" s="15">
        <f>SUM(B17:M17)</f>
        <v>3029.47</v>
      </c>
      <c r="O17" s="10">
        <v>2250</v>
      </c>
      <c r="P17" s="84">
        <f>O17+N3</f>
        <v>4421.67</v>
      </c>
      <c r="Q17" s="84">
        <f>P17-N17</f>
        <v>1392.2000000000003</v>
      </c>
      <c r="R17" s="78" t="s">
        <v>32</v>
      </c>
    </row>
    <row r="18" spans="1:18" x14ac:dyDescent="0.25">
      <c r="A18" s="12" t="s">
        <v>33</v>
      </c>
      <c r="B18" s="13"/>
      <c r="C18" s="14"/>
      <c r="D18" s="13"/>
      <c r="E18" s="14"/>
      <c r="F18" s="13"/>
      <c r="G18" s="14"/>
      <c r="H18" s="13"/>
      <c r="I18" s="14"/>
      <c r="J18" s="13">
        <v>600</v>
      </c>
      <c r="K18" s="14"/>
      <c r="L18" s="13"/>
      <c r="M18" s="14"/>
      <c r="N18" s="15">
        <f t="shared" ref="N18:N59" si="3">SUM(B18:M18)</f>
        <v>600</v>
      </c>
      <c r="O18" s="10">
        <v>1000</v>
      </c>
      <c r="P18" s="84"/>
      <c r="Q18" s="84">
        <f>O18-N18</f>
        <v>400</v>
      </c>
    </row>
    <row r="19" spans="1:18" x14ac:dyDescent="0.25">
      <c r="A19" s="12" t="s">
        <v>34</v>
      </c>
      <c r="B19" s="13"/>
      <c r="C19" s="14"/>
      <c r="D19" s="13"/>
      <c r="E19" s="14">
        <v>100</v>
      </c>
      <c r="F19" s="13">
        <v>556</v>
      </c>
      <c r="G19" s="14">
        <v>1395</v>
      </c>
      <c r="H19" s="13"/>
      <c r="I19" s="14"/>
      <c r="J19" s="13"/>
      <c r="K19" s="14"/>
      <c r="L19" s="13"/>
      <c r="M19" s="14"/>
      <c r="N19" s="15">
        <f t="shared" si="3"/>
        <v>2051</v>
      </c>
      <c r="O19" s="10">
        <v>2000</v>
      </c>
      <c r="P19" s="84"/>
      <c r="Q19" s="84">
        <f t="shared" ref="Q19:Q60" si="4">O19-N19</f>
        <v>-51</v>
      </c>
    </row>
    <row r="20" spans="1:18" x14ac:dyDescent="0.25">
      <c r="A20" s="12" t="s">
        <v>35</v>
      </c>
      <c r="B20" s="13"/>
      <c r="C20" s="14">
        <v>126.46</v>
      </c>
      <c r="D20" s="13">
        <v>85</v>
      </c>
      <c r="E20" s="14"/>
      <c r="F20" s="13"/>
      <c r="G20" s="14">
        <v>523</v>
      </c>
      <c r="H20" s="13"/>
      <c r="I20" s="14"/>
      <c r="J20" s="13"/>
      <c r="K20" s="14"/>
      <c r="L20" s="13"/>
      <c r="M20" s="14">
        <v>349.71</v>
      </c>
      <c r="N20" s="15">
        <f t="shared" si="3"/>
        <v>1084.17</v>
      </c>
      <c r="O20" s="10">
        <v>1500</v>
      </c>
      <c r="P20" s="84"/>
      <c r="Q20" s="84">
        <f t="shared" si="4"/>
        <v>415.82999999999993</v>
      </c>
    </row>
    <row r="21" spans="1:18" x14ac:dyDescent="0.25">
      <c r="A21" s="12" t="s">
        <v>36</v>
      </c>
      <c r="B21" s="13"/>
      <c r="C21" s="14"/>
      <c r="D21" s="13"/>
      <c r="E21" s="14">
        <v>68</v>
      </c>
      <c r="F21" s="13"/>
      <c r="G21" s="14"/>
      <c r="H21" s="13"/>
      <c r="I21" s="14"/>
      <c r="J21" s="13"/>
      <c r="K21" s="14"/>
      <c r="L21" s="13"/>
      <c r="M21" s="14"/>
      <c r="N21" s="15">
        <f t="shared" si="3"/>
        <v>68</v>
      </c>
      <c r="O21" s="10">
        <v>100</v>
      </c>
      <c r="P21" s="84"/>
      <c r="Q21" s="84">
        <f t="shared" si="4"/>
        <v>32</v>
      </c>
    </row>
    <row r="22" spans="1:18" s="34" customFormat="1" ht="17.25" customHeight="1" x14ac:dyDescent="0.25">
      <c r="A22" s="31" t="s">
        <v>37</v>
      </c>
      <c r="B22" s="32"/>
      <c r="C22" s="33"/>
      <c r="D22" s="32"/>
      <c r="E22" s="33"/>
      <c r="F22" s="32"/>
      <c r="G22" s="33">
        <f>517.91+4.89</f>
        <v>522.79999999999995</v>
      </c>
      <c r="H22" s="32"/>
      <c r="I22" s="14"/>
      <c r="J22" s="32"/>
      <c r="K22" s="33"/>
      <c r="L22" s="32">
        <f>70+1397.34</f>
        <v>1467.34</v>
      </c>
      <c r="M22" s="33"/>
      <c r="N22" s="15">
        <f t="shared" si="3"/>
        <v>1990.1399999999999</v>
      </c>
      <c r="O22" s="10">
        <v>2000</v>
      </c>
      <c r="P22" s="84"/>
      <c r="Q22" s="84">
        <f>O22-N22</f>
        <v>9.8600000000001273</v>
      </c>
      <c r="R22" s="79"/>
    </row>
    <row r="23" spans="1:18" s="35" customFormat="1" x14ac:dyDescent="0.25">
      <c r="A23" s="12" t="s">
        <v>38</v>
      </c>
      <c r="B23" s="13"/>
      <c r="C23" s="14"/>
      <c r="D23" s="13"/>
      <c r="E23" s="14"/>
      <c r="F23" s="13"/>
      <c r="G23" s="14"/>
      <c r="H23" s="13"/>
      <c r="I23" s="14">
        <v>458.68</v>
      </c>
      <c r="J23" s="13"/>
      <c r="K23" s="14"/>
      <c r="L23" s="13"/>
      <c r="M23" s="14"/>
      <c r="N23" s="15">
        <f t="shared" si="3"/>
        <v>458.68</v>
      </c>
      <c r="O23" s="10">
        <v>500</v>
      </c>
      <c r="P23" s="84"/>
      <c r="Q23" s="84">
        <f t="shared" si="4"/>
        <v>41.319999999999993</v>
      </c>
      <c r="R23" s="80"/>
    </row>
    <row r="24" spans="1:18" s="36" customFormat="1" x14ac:dyDescent="0.25">
      <c r="A24" s="12" t="s">
        <v>39</v>
      </c>
      <c r="B24" s="13"/>
      <c r="C24" s="14"/>
      <c r="D24" s="13"/>
      <c r="E24" s="14"/>
      <c r="F24" s="13">
        <f>621-143</f>
        <v>478</v>
      </c>
      <c r="G24" s="14"/>
      <c r="H24" s="13"/>
      <c r="I24" s="14"/>
      <c r="J24" s="13"/>
      <c r="K24" s="14"/>
      <c r="L24" s="13"/>
      <c r="M24" s="14"/>
      <c r="N24" s="15">
        <f t="shared" si="3"/>
        <v>478</v>
      </c>
      <c r="O24" s="10">
        <v>500</v>
      </c>
      <c r="P24" s="84"/>
      <c r="Q24" s="84">
        <f t="shared" si="4"/>
        <v>22</v>
      </c>
      <c r="R24" s="76" t="s">
        <v>145</v>
      </c>
    </row>
    <row r="25" spans="1:18" x14ac:dyDescent="0.25">
      <c r="A25" s="12" t="s">
        <v>40</v>
      </c>
      <c r="B25" s="13"/>
      <c r="C25" s="14"/>
      <c r="D25" s="13"/>
      <c r="E25" s="14"/>
      <c r="F25" s="13">
        <f>50+43.96+50+50+32.75+24.99</f>
        <v>251.70000000000002</v>
      </c>
      <c r="G25" s="14">
        <v>50</v>
      </c>
      <c r="H25" s="13"/>
      <c r="I25" s="14"/>
      <c r="J25" s="13">
        <f>35.84+44.52+83.66</f>
        <v>164.02</v>
      </c>
      <c r="K25" s="14">
        <v>36.479999999999997</v>
      </c>
      <c r="L25" s="13">
        <f>124.06+45.04</f>
        <v>169.1</v>
      </c>
      <c r="M25" s="14">
        <f>74.67+50+56.03+11.98</f>
        <v>192.67999999999998</v>
      </c>
      <c r="N25" s="15">
        <f>SUM(B25:M25)</f>
        <v>863.98</v>
      </c>
      <c r="O25" s="10">
        <f>150*16</f>
        <v>2400</v>
      </c>
      <c r="P25" s="84"/>
      <c r="Q25" s="84">
        <f t="shared" si="4"/>
        <v>1536.02</v>
      </c>
    </row>
    <row r="26" spans="1:18" x14ac:dyDescent="0.25">
      <c r="A26" s="12" t="s">
        <v>41</v>
      </c>
      <c r="B26" s="13"/>
      <c r="C26" s="14"/>
      <c r="D26" s="13"/>
      <c r="E26" s="14"/>
      <c r="F26" s="13"/>
      <c r="G26" s="14"/>
      <c r="H26" s="13"/>
      <c r="I26" s="14"/>
      <c r="J26" s="13"/>
      <c r="K26" s="14"/>
      <c r="L26" s="13">
        <v>250</v>
      </c>
      <c r="M26" s="14"/>
      <c r="N26" s="15">
        <f t="shared" si="3"/>
        <v>250</v>
      </c>
      <c r="O26" s="10">
        <v>250</v>
      </c>
      <c r="P26" s="84"/>
      <c r="Q26" s="84">
        <f t="shared" si="4"/>
        <v>0</v>
      </c>
    </row>
    <row r="27" spans="1:18" x14ac:dyDescent="0.25">
      <c r="A27" s="12" t="s">
        <v>42</v>
      </c>
      <c r="B27" s="13"/>
      <c r="C27" s="14"/>
      <c r="D27" s="13"/>
      <c r="E27" s="14"/>
      <c r="F27" s="13"/>
      <c r="G27" s="14">
        <v>1477.69</v>
      </c>
      <c r="H27" s="13"/>
      <c r="I27" s="14">
        <v>420.39</v>
      </c>
      <c r="J27" s="13"/>
      <c r="K27" s="14">
        <v>292.54000000000002</v>
      </c>
      <c r="L27" s="13">
        <f>1065.8+243.58</f>
        <v>1309.3799999999999</v>
      </c>
      <c r="M27" s="14"/>
      <c r="N27" s="15">
        <f t="shared" si="3"/>
        <v>3500</v>
      </c>
      <c r="O27" s="10">
        <v>3500</v>
      </c>
      <c r="P27" s="84"/>
      <c r="Q27" s="84">
        <f>O27-N27</f>
        <v>0</v>
      </c>
      <c r="R27" s="78" t="s">
        <v>204</v>
      </c>
    </row>
    <row r="28" spans="1:18" x14ac:dyDescent="0.25">
      <c r="A28" s="18" t="s">
        <v>43</v>
      </c>
      <c r="B28" s="13"/>
      <c r="C28" s="14"/>
      <c r="D28" s="13"/>
      <c r="E28" s="14"/>
      <c r="F28" s="13"/>
      <c r="G28" s="14"/>
      <c r="H28" s="13"/>
      <c r="I28" s="14"/>
      <c r="J28" s="13">
        <v>355.47</v>
      </c>
      <c r="K28" s="14"/>
      <c r="L28" s="13">
        <f>83.84+49.95+120.4</f>
        <v>254.19000000000003</v>
      </c>
      <c r="M28" s="14"/>
      <c r="N28" s="15">
        <f t="shared" si="3"/>
        <v>609.66000000000008</v>
      </c>
      <c r="O28" s="10">
        <v>1200</v>
      </c>
      <c r="P28" s="84"/>
      <c r="Q28" s="84">
        <f t="shared" si="4"/>
        <v>590.33999999999992</v>
      </c>
    </row>
    <row r="29" spans="1:18" x14ac:dyDescent="0.25">
      <c r="A29" s="18" t="s">
        <v>44</v>
      </c>
      <c r="B29" s="13"/>
      <c r="C29" s="14"/>
      <c r="D29" s="13"/>
      <c r="E29" s="14">
        <v>33</v>
      </c>
      <c r="F29" s="13"/>
      <c r="G29" s="14"/>
      <c r="H29" s="13"/>
      <c r="I29" s="14"/>
      <c r="J29" s="13"/>
      <c r="K29" s="14"/>
      <c r="L29" s="13"/>
      <c r="M29" s="14"/>
      <c r="N29" s="15">
        <f t="shared" si="3"/>
        <v>33</v>
      </c>
      <c r="O29" s="10">
        <v>50</v>
      </c>
      <c r="P29" s="84"/>
      <c r="Q29" s="84">
        <f t="shared" si="4"/>
        <v>17</v>
      </c>
    </row>
    <row r="30" spans="1:18" x14ac:dyDescent="0.25">
      <c r="A30" s="18" t="s">
        <v>45</v>
      </c>
      <c r="B30" s="13"/>
      <c r="C30" s="14"/>
      <c r="D30" s="13"/>
      <c r="E30" s="14">
        <f>23.17+22.17</f>
        <v>45.34</v>
      </c>
      <c r="F30" s="13">
        <v>320</v>
      </c>
      <c r="G30" s="14">
        <v>48</v>
      </c>
      <c r="H30" s="13"/>
      <c r="I30" s="14"/>
      <c r="J30" s="13"/>
      <c r="K30" s="14"/>
      <c r="L30" s="13"/>
      <c r="M30" s="14"/>
      <c r="N30" s="15">
        <f t="shared" si="3"/>
        <v>413.34000000000003</v>
      </c>
      <c r="O30" s="10">
        <v>500</v>
      </c>
      <c r="P30" s="84"/>
      <c r="Q30" s="84">
        <f t="shared" si="4"/>
        <v>86.659999999999968</v>
      </c>
    </row>
    <row r="31" spans="1:18" x14ac:dyDescent="0.25">
      <c r="A31" s="18" t="s">
        <v>46</v>
      </c>
      <c r="B31" s="13"/>
      <c r="C31" s="14"/>
      <c r="D31" s="13"/>
      <c r="E31" s="14"/>
      <c r="F31" s="13"/>
      <c r="G31" s="14"/>
      <c r="H31" s="13"/>
      <c r="I31" s="14"/>
      <c r="J31" s="13"/>
      <c r="K31" s="14"/>
      <c r="L31" s="13"/>
      <c r="M31" s="14"/>
      <c r="N31" s="15">
        <f t="shared" si="3"/>
        <v>0</v>
      </c>
      <c r="O31" s="10">
        <v>100</v>
      </c>
      <c r="P31" s="84"/>
      <c r="Q31" s="84">
        <f t="shared" si="4"/>
        <v>100</v>
      </c>
    </row>
    <row r="32" spans="1:18" x14ac:dyDescent="0.25">
      <c r="A32" s="18" t="s">
        <v>47</v>
      </c>
      <c r="B32" s="13"/>
      <c r="C32" s="14"/>
      <c r="D32" s="13"/>
      <c r="E32" s="14"/>
      <c r="F32" s="13"/>
      <c r="G32" s="14"/>
      <c r="H32" s="13"/>
      <c r="I32" s="14"/>
      <c r="J32" s="13"/>
      <c r="K32" s="14">
        <v>159.11000000000001</v>
      </c>
      <c r="L32" s="13"/>
      <c r="M32" s="14">
        <v>91.62</v>
      </c>
      <c r="N32" s="15">
        <f t="shared" si="3"/>
        <v>250.73000000000002</v>
      </c>
      <c r="O32" s="10">
        <v>200</v>
      </c>
      <c r="P32" s="84"/>
      <c r="Q32" s="84">
        <f t="shared" si="4"/>
        <v>-50.730000000000018</v>
      </c>
    </row>
    <row r="33" spans="1:18" x14ac:dyDescent="0.25">
      <c r="A33" s="12" t="s">
        <v>48</v>
      </c>
      <c r="B33" s="13"/>
      <c r="C33" s="14"/>
      <c r="D33" s="13"/>
      <c r="E33" s="14"/>
      <c r="F33" s="13"/>
      <c r="G33" s="14"/>
      <c r="H33" s="13"/>
      <c r="I33" s="14"/>
      <c r="J33" s="13"/>
      <c r="K33" s="14">
        <v>264</v>
      </c>
      <c r="L33" s="13"/>
      <c r="M33" s="14">
        <v>49.75</v>
      </c>
      <c r="N33" s="15">
        <f t="shared" si="3"/>
        <v>313.75</v>
      </c>
      <c r="O33" s="10">
        <v>1900</v>
      </c>
      <c r="P33" s="84"/>
      <c r="Q33" s="84">
        <f t="shared" si="4"/>
        <v>1586.25</v>
      </c>
    </row>
    <row r="34" spans="1:18" x14ac:dyDescent="0.25">
      <c r="A34" s="12" t="s">
        <v>49</v>
      </c>
      <c r="B34" s="13"/>
      <c r="C34" s="14"/>
      <c r="D34" s="13"/>
      <c r="E34" s="14">
        <v>342</v>
      </c>
      <c r="F34" s="13">
        <v>128.97999999999999</v>
      </c>
      <c r="G34" s="14"/>
      <c r="H34" s="13"/>
      <c r="I34" s="13">
        <v>283.5</v>
      </c>
      <c r="J34" s="13"/>
      <c r="K34" s="14">
        <v>30</v>
      </c>
      <c r="L34" s="13">
        <v>243.1</v>
      </c>
      <c r="M34" s="14">
        <v>-72.930000000000007</v>
      </c>
      <c r="N34" s="15">
        <f t="shared" si="3"/>
        <v>954.64999999999986</v>
      </c>
      <c r="O34" s="10">
        <v>1900</v>
      </c>
      <c r="P34" s="84"/>
      <c r="Q34" s="84">
        <f t="shared" si="4"/>
        <v>945.35000000000014</v>
      </c>
    </row>
    <row r="35" spans="1:18" x14ac:dyDescent="0.25">
      <c r="A35" s="12" t="s">
        <v>50</v>
      </c>
      <c r="B35" s="13"/>
      <c r="C35" s="14"/>
      <c r="D35" s="13">
        <v>420</v>
      </c>
      <c r="E35" s="14"/>
      <c r="F35" s="13">
        <v>105.88</v>
      </c>
      <c r="G35" s="14"/>
      <c r="H35" s="13"/>
      <c r="I35" s="14"/>
      <c r="J35" s="13"/>
      <c r="K35" s="14"/>
      <c r="L35" s="13">
        <v>943</v>
      </c>
      <c r="M35" s="14">
        <v>332.26</v>
      </c>
      <c r="N35" s="15">
        <f t="shared" si="3"/>
        <v>1801.14</v>
      </c>
      <c r="O35" s="10">
        <v>1900</v>
      </c>
      <c r="P35" s="84"/>
      <c r="Q35" s="84">
        <f t="shared" si="4"/>
        <v>98.8599999999999</v>
      </c>
      <c r="R35" s="78" t="s">
        <v>51</v>
      </c>
    </row>
    <row r="36" spans="1:18" x14ac:dyDescent="0.25">
      <c r="A36" s="12" t="s">
        <v>52</v>
      </c>
      <c r="B36" s="13"/>
      <c r="C36" s="14"/>
      <c r="D36" s="13"/>
      <c r="E36" s="14"/>
      <c r="F36" s="13"/>
      <c r="G36" s="14"/>
      <c r="H36" s="13">
        <v>560</v>
      </c>
      <c r="I36" s="14"/>
      <c r="J36" s="81"/>
      <c r="K36" s="14">
        <f>448.5+117.43</f>
        <v>565.93000000000006</v>
      </c>
      <c r="L36" s="13">
        <v>351.51</v>
      </c>
      <c r="M36" s="14"/>
      <c r="N36" s="15">
        <f t="shared" si="3"/>
        <v>1477.44</v>
      </c>
      <c r="O36" s="10">
        <v>1900</v>
      </c>
      <c r="P36" s="84"/>
      <c r="Q36" s="84">
        <f t="shared" si="4"/>
        <v>422.55999999999995</v>
      </c>
    </row>
    <row r="37" spans="1:18" x14ac:dyDescent="0.25">
      <c r="A37" s="12" t="s">
        <v>53</v>
      </c>
      <c r="B37" s="13"/>
      <c r="C37" s="14"/>
      <c r="D37" s="13"/>
      <c r="E37" s="14"/>
      <c r="F37" s="13"/>
      <c r="G37" s="14"/>
      <c r="H37" s="13">
        <v>90</v>
      </c>
      <c r="I37" s="14"/>
      <c r="J37" s="13"/>
      <c r="K37" s="14"/>
      <c r="L37" s="13">
        <f>645+343.43+577.5</f>
        <v>1565.93</v>
      </c>
      <c r="M37" s="14">
        <f>-173.24</f>
        <v>-173.24</v>
      </c>
      <c r="N37" s="15">
        <f t="shared" si="3"/>
        <v>1482.69</v>
      </c>
      <c r="O37" s="10">
        <v>1900</v>
      </c>
      <c r="P37" s="84"/>
      <c r="Q37" s="84">
        <f t="shared" si="4"/>
        <v>417.30999999999995</v>
      </c>
    </row>
    <row r="38" spans="1:18" x14ac:dyDescent="0.25">
      <c r="A38" s="12" t="s">
        <v>54</v>
      </c>
      <c r="B38" s="13"/>
      <c r="C38" s="14"/>
      <c r="D38" s="13"/>
      <c r="E38" s="14"/>
      <c r="F38" s="13"/>
      <c r="G38" s="14"/>
      <c r="H38" s="13"/>
      <c r="I38" s="14"/>
      <c r="J38" s="13">
        <f>383.5+680+15</f>
        <v>1078.5</v>
      </c>
      <c r="K38" s="14">
        <v>333.41</v>
      </c>
      <c r="L38" s="13">
        <v>420.42</v>
      </c>
      <c r="M38" s="14"/>
      <c r="N38" s="15">
        <f t="shared" si="3"/>
        <v>1832.3300000000002</v>
      </c>
      <c r="O38" s="10">
        <v>1900</v>
      </c>
      <c r="P38" s="84"/>
      <c r="Q38" s="84">
        <f t="shared" si="4"/>
        <v>67.669999999999845</v>
      </c>
      <c r="R38" s="78" t="s">
        <v>203</v>
      </c>
    </row>
    <row r="39" spans="1:18" s="34" customFormat="1" x14ac:dyDescent="0.25">
      <c r="A39" s="12" t="s">
        <v>55</v>
      </c>
      <c r="B39" s="13"/>
      <c r="C39" s="14"/>
      <c r="D39" s="13"/>
      <c r="E39" s="14"/>
      <c r="F39" s="13"/>
      <c r="G39" s="14"/>
      <c r="H39" s="13"/>
      <c r="I39" s="14"/>
      <c r="J39" s="13"/>
      <c r="K39" s="14"/>
      <c r="L39" s="13"/>
      <c r="M39" s="14">
        <v>500.5</v>
      </c>
      <c r="N39" s="15">
        <f t="shared" si="3"/>
        <v>500.5</v>
      </c>
      <c r="O39" s="10">
        <v>550</v>
      </c>
      <c r="P39" s="84"/>
      <c r="Q39" s="84">
        <f t="shared" si="4"/>
        <v>49.5</v>
      </c>
      <c r="R39" s="79"/>
    </row>
    <row r="40" spans="1:18" x14ac:dyDescent="0.25">
      <c r="A40" s="12" t="s">
        <v>56</v>
      </c>
      <c r="B40" s="13"/>
      <c r="C40" s="14"/>
      <c r="D40" s="13"/>
      <c r="E40" s="14">
        <v>995</v>
      </c>
      <c r="F40" s="13"/>
      <c r="G40" s="14"/>
      <c r="H40" s="13"/>
      <c r="I40" s="14"/>
      <c r="J40" s="13"/>
      <c r="K40" s="14"/>
      <c r="L40" s="13"/>
      <c r="M40" s="14"/>
      <c r="N40" s="15">
        <f t="shared" si="3"/>
        <v>995</v>
      </c>
      <c r="O40" s="10">
        <v>1000</v>
      </c>
      <c r="P40" s="84"/>
      <c r="Q40" s="84">
        <f t="shared" si="4"/>
        <v>5</v>
      </c>
    </row>
    <row r="41" spans="1:18" x14ac:dyDescent="0.25">
      <c r="A41" s="12" t="s">
        <v>57</v>
      </c>
      <c r="B41" s="13"/>
      <c r="C41" s="14"/>
      <c r="D41" s="13">
        <v>225</v>
      </c>
      <c r="E41" s="14">
        <f>2844.25+48.17</f>
        <v>2892.42</v>
      </c>
      <c r="F41" s="13">
        <f>102.98+40</f>
        <v>142.98000000000002</v>
      </c>
      <c r="G41" s="14"/>
      <c r="H41" s="13">
        <v>210.65</v>
      </c>
      <c r="I41" s="14">
        <v>160</v>
      </c>
      <c r="J41" s="13"/>
      <c r="K41" s="14"/>
      <c r="L41" s="13">
        <f>108.33+89.37+39.96</f>
        <v>237.66</v>
      </c>
      <c r="M41" s="14"/>
      <c r="N41" s="15">
        <f t="shared" si="3"/>
        <v>3868.71</v>
      </c>
      <c r="O41" s="10">
        <v>4250</v>
      </c>
      <c r="P41" s="84"/>
      <c r="Q41" s="84">
        <f t="shared" si="4"/>
        <v>381.28999999999996</v>
      </c>
    </row>
    <row r="42" spans="1:18" x14ac:dyDescent="0.25">
      <c r="A42" s="18" t="s">
        <v>58</v>
      </c>
      <c r="B42" s="13"/>
      <c r="C42" s="14"/>
      <c r="D42" s="13"/>
      <c r="E42" s="14"/>
      <c r="F42" s="13"/>
      <c r="G42" s="14"/>
      <c r="H42" s="13"/>
      <c r="I42" s="14"/>
      <c r="J42" s="13"/>
      <c r="K42" s="14"/>
      <c r="L42" s="13"/>
      <c r="M42" s="14">
        <v>100</v>
      </c>
      <c r="N42" s="15">
        <f t="shared" si="3"/>
        <v>100</v>
      </c>
      <c r="O42" s="10">
        <v>250</v>
      </c>
      <c r="P42" s="84"/>
      <c r="Q42" s="84">
        <f t="shared" si="4"/>
        <v>150</v>
      </c>
    </row>
    <row r="43" spans="1:18" x14ac:dyDescent="0.25">
      <c r="A43" s="18" t="s">
        <v>152</v>
      </c>
      <c r="B43" s="13"/>
      <c r="C43" s="14"/>
      <c r="D43" s="13"/>
      <c r="E43" s="14"/>
      <c r="F43" s="13"/>
      <c r="G43" s="14"/>
      <c r="H43" s="13"/>
      <c r="I43" s="14"/>
      <c r="J43" s="13">
        <v>462</v>
      </c>
      <c r="K43" s="14">
        <f>-13.23-14-14-14</f>
        <v>-55.230000000000004</v>
      </c>
      <c r="L43" s="13"/>
      <c r="M43" s="14"/>
      <c r="N43" s="15">
        <f t="shared" si="3"/>
        <v>406.77</v>
      </c>
      <c r="O43" s="10">
        <v>500</v>
      </c>
      <c r="P43" s="84"/>
      <c r="Q43" s="84">
        <f t="shared" si="4"/>
        <v>93.230000000000018</v>
      </c>
      <c r="R43" s="76" t="s">
        <v>201</v>
      </c>
    </row>
    <row r="44" spans="1:18" x14ac:dyDescent="0.25">
      <c r="A44" s="18" t="s">
        <v>150</v>
      </c>
      <c r="B44" s="13"/>
      <c r="C44" s="14"/>
      <c r="D44" s="13"/>
      <c r="E44" s="14"/>
      <c r="F44" s="13"/>
      <c r="G44" s="14"/>
      <c r="H44" s="13"/>
      <c r="I44" s="14"/>
      <c r="J44" s="13"/>
      <c r="K44" s="14"/>
      <c r="L44" s="13"/>
      <c r="M44" s="14"/>
      <c r="N44" s="15">
        <f t="shared" si="3"/>
        <v>0</v>
      </c>
      <c r="O44" s="10">
        <v>960</v>
      </c>
      <c r="P44" s="84"/>
      <c r="Q44" s="84">
        <f t="shared" si="4"/>
        <v>960</v>
      </c>
      <c r="R44" s="76" t="s">
        <v>151</v>
      </c>
    </row>
    <row r="45" spans="1:18" x14ac:dyDescent="0.25">
      <c r="A45" s="12" t="s">
        <v>59</v>
      </c>
      <c r="B45" s="13"/>
      <c r="C45" s="14"/>
      <c r="D45" s="13">
        <v>335</v>
      </c>
      <c r="E45" s="14"/>
      <c r="F45" s="13"/>
      <c r="G45" s="14"/>
      <c r="H45" s="13"/>
      <c r="I45" s="14"/>
      <c r="J45" s="13"/>
      <c r="K45" s="14"/>
      <c r="L45" s="13"/>
      <c r="M45" s="14"/>
      <c r="N45" s="15">
        <f t="shared" si="3"/>
        <v>335</v>
      </c>
      <c r="O45" s="10">
        <v>340</v>
      </c>
      <c r="P45" s="84"/>
      <c r="Q45" s="84">
        <f t="shared" si="4"/>
        <v>5</v>
      </c>
    </row>
    <row r="46" spans="1:18" x14ac:dyDescent="0.25">
      <c r="A46" s="12" t="s">
        <v>60</v>
      </c>
      <c r="B46" s="13"/>
      <c r="C46" s="14"/>
      <c r="D46" s="13"/>
      <c r="E46" s="14">
        <v>29.4</v>
      </c>
      <c r="F46" s="13"/>
      <c r="G46" s="14"/>
      <c r="H46" s="13"/>
      <c r="I46" s="14"/>
      <c r="J46" s="13"/>
      <c r="K46" s="14"/>
      <c r="L46" s="13"/>
      <c r="M46" s="14"/>
      <c r="N46" s="15">
        <f t="shared" si="3"/>
        <v>29.4</v>
      </c>
      <c r="O46" s="10">
        <v>150</v>
      </c>
      <c r="P46" s="84"/>
      <c r="Q46" s="84">
        <f t="shared" si="4"/>
        <v>120.6</v>
      </c>
    </row>
    <row r="47" spans="1:18" x14ac:dyDescent="0.25">
      <c r="A47" s="12" t="s">
        <v>61</v>
      </c>
      <c r="B47" s="13"/>
      <c r="C47" s="14"/>
      <c r="D47" s="13"/>
      <c r="E47" s="14"/>
      <c r="F47" s="13"/>
      <c r="G47" s="14"/>
      <c r="H47" s="13"/>
      <c r="I47" s="14"/>
      <c r="J47" s="13">
        <f>59.45+53.5</f>
        <v>112.95</v>
      </c>
      <c r="K47" s="14"/>
      <c r="L47" s="13"/>
      <c r="M47" s="14">
        <v>101.75</v>
      </c>
      <c r="N47" s="15">
        <f t="shared" si="3"/>
        <v>214.7</v>
      </c>
      <c r="O47" s="10">
        <v>250</v>
      </c>
      <c r="P47" s="84"/>
      <c r="Q47" s="84">
        <f t="shared" si="4"/>
        <v>35.300000000000011</v>
      </c>
    </row>
    <row r="48" spans="1:18" x14ac:dyDescent="0.25">
      <c r="A48" s="12" t="s">
        <v>62</v>
      </c>
      <c r="B48" s="13"/>
      <c r="C48" s="14">
        <v>15.62</v>
      </c>
      <c r="D48" s="13"/>
      <c r="E48" s="14"/>
      <c r="F48" s="13"/>
      <c r="G48" s="14"/>
      <c r="H48" s="13"/>
      <c r="I48" s="14"/>
      <c r="J48" s="13"/>
      <c r="K48" s="14"/>
      <c r="L48" s="13"/>
      <c r="M48" s="14">
        <f>501.38+178.72</f>
        <v>680.1</v>
      </c>
      <c r="N48" s="15">
        <f t="shared" si="3"/>
        <v>695.72</v>
      </c>
      <c r="O48" s="10">
        <v>1000</v>
      </c>
      <c r="P48" s="84"/>
      <c r="Q48" s="84">
        <f t="shared" si="4"/>
        <v>304.27999999999997</v>
      </c>
    </row>
    <row r="49" spans="1:20" x14ac:dyDescent="0.25">
      <c r="A49" s="18" t="s">
        <v>63</v>
      </c>
      <c r="B49" s="13"/>
      <c r="C49" s="14">
        <v>270</v>
      </c>
      <c r="D49" s="13"/>
      <c r="E49" s="14"/>
      <c r="F49" s="13"/>
      <c r="G49" s="14"/>
      <c r="H49" s="13"/>
      <c r="I49" s="14"/>
      <c r="J49" s="13"/>
      <c r="K49" s="14"/>
      <c r="L49" s="13"/>
      <c r="M49" s="14">
        <v>30</v>
      </c>
      <c r="N49" s="15">
        <f>SUM(B49:M49)</f>
        <v>300</v>
      </c>
      <c r="O49" s="10">
        <v>300</v>
      </c>
      <c r="P49" s="84"/>
      <c r="Q49" s="84">
        <f t="shared" si="4"/>
        <v>0</v>
      </c>
    </row>
    <row r="50" spans="1:20" x14ac:dyDescent="0.25">
      <c r="A50" s="18" t="s">
        <v>64</v>
      </c>
      <c r="B50" s="13"/>
      <c r="C50" s="14">
        <v>453.76</v>
      </c>
      <c r="D50" s="13"/>
      <c r="E50" s="14"/>
      <c r="F50" s="13"/>
      <c r="G50" s="14"/>
      <c r="H50" s="13"/>
      <c r="I50" s="14"/>
      <c r="J50" s="13"/>
      <c r="K50" s="14"/>
      <c r="L50" s="13"/>
      <c r="M50" s="14"/>
      <c r="N50" s="15">
        <f t="shared" si="3"/>
        <v>453.76</v>
      </c>
      <c r="O50" s="10">
        <v>450</v>
      </c>
      <c r="P50" s="84"/>
      <c r="Q50" s="84">
        <f t="shared" si="4"/>
        <v>-3.7599999999999909</v>
      </c>
    </row>
    <row r="51" spans="1:20" x14ac:dyDescent="0.25">
      <c r="A51" s="18" t="s">
        <v>65</v>
      </c>
      <c r="B51" s="13"/>
      <c r="C51" s="14">
        <v>453.76</v>
      </c>
      <c r="D51" s="13"/>
      <c r="E51" s="14"/>
      <c r="F51" s="13"/>
      <c r="G51" s="14"/>
      <c r="H51" s="13"/>
      <c r="I51" s="14"/>
      <c r="J51" s="13"/>
      <c r="K51" s="14"/>
      <c r="L51" s="13"/>
      <c r="M51" s="14"/>
      <c r="N51" s="15">
        <f t="shared" si="3"/>
        <v>453.76</v>
      </c>
      <c r="O51" s="10">
        <v>475</v>
      </c>
      <c r="P51" s="84"/>
      <c r="Q51" s="84">
        <f t="shared" si="4"/>
        <v>21.240000000000009</v>
      </c>
    </row>
    <row r="52" spans="1:20" x14ac:dyDescent="0.25">
      <c r="A52" s="12" t="s">
        <v>66</v>
      </c>
      <c r="B52" s="13"/>
      <c r="C52" s="14">
        <f>194.78+3045.03</f>
        <v>3239.8100000000004</v>
      </c>
      <c r="D52" s="13">
        <v>30.59</v>
      </c>
      <c r="E52" s="14"/>
      <c r="F52" s="13">
        <f>328.8+46.74</f>
        <v>375.54</v>
      </c>
      <c r="G52" s="14"/>
      <c r="H52" s="13">
        <f>64.9+50.16</f>
        <v>115.06</v>
      </c>
      <c r="I52" s="14">
        <v>54.95</v>
      </c>
      <c r="J52" s="13">
        <v>310.18</v>
      </c>
      <c r="K52" s="14">
        <f>65.95+148.19+54.95</f>
        <v>269.08999999999997</v>
      </c>
      <c r="L52" s="13"/>
      <c r="M52" s="14"/>
      <c r="N52" s="15">
        <f t="shared" si="3"/>
        <v>4395.22</v>
      </c>
      <c r="O52" s="10">
        <v>7000</v>
      </c>
      <c r="P52" s="84"/>
      <c r="Q52" s="84">
        <f t="shared" si="4"/>
        <v>2604.7799999999997</v>
      </c>
    </row>
    <row r="53" spans="1:20" s="34" customFormat="1" x14ac:dyDescent="0.25">
      <c r="A53" s="12" t="s">
        <v>67</v>
      </c>
      <c r="B53" s="13"/>
      <c r="C53" s="14"/>
      <c r="D53" s="13"/>
      <c r="E53" s="14"/>
      <c r="F53" s="13"/>
      <c r="G53" s="14"/>
      <c r="H53" s="13"/>
      <c r="I53" s="14"/>
      <c r="J53" s="13"/>
      <c r="K53" s="14"/>
      <c r="L53" s="13">
        <v>252.7</v>
      </c>
      <c r="M53" s="14"/>
      <c r="N53" s="15">
        <f t="shared" si="3"/>
        <v>252.7</v>
      </c>
      <c r="O53" s="10">
        <v>250</v>
      </c>
      <c r="P53" s="84"/>
      <c r="Q53" s="84">
        <f t="shared" si="4"/>
        <v>-2.6999999999999886</v>
      </c>
      <c r="R53" s="79"/>
    </row>
    <row r="54" spans="1:20" x14ac:dyDescent="0.25">
      <c r="A54" s="12" t="s">
        <v>68</v>
      </c>
      <c r="B54" s="13"/>
      <c r="C54" s="14"/>
      <c r="D54" s="13"/>
      <c r="E54" s="14"/>
      <c r="F54" s="13"/>
      <c r="G54" s="14"/>
      <c r="H54" s="13"/>
      <c r="I54" s="14"/>
      <c r="J54" s="13"/>
      <c r="K54" s="14"/>
      <c r="L54" s="13"/>
      <c r="M54" s="14"/>
      <c r="N54" s="15">
        <f t="shared" si="3"/>
        <v>0</v>
      </c>
      <c r="O54" s="10">
        <v>300</v>
      </c>
      <c r="P54" s="84"/>
      <c r="Q54" s="84">
        <f t="shared" si="4"/>
        <v>300</v>
      </c>
    </row>
    <row r="55" spans="1:20" x14ac:dyDescent="0.25">
      <c r="A55" s="18" t="s">
        <v>69</v>
      </c>
      <c r="B55" s="13"/>
      <c r="C55" s="14"/>
      <c r="D55" s="13"/>
      <c r="E55" s="14">
        <f>95.92+63.49</f>
        <v>159.41</v>
      </c>
      <c r="F55" s="13">
        <f>372.6-50+20.45+57.39</f>
        <v>400.44</v>
      </c>
      <c r="G55" s="14">
        <f>100+52.82</f>
        <v>152.82</v>
      </c>
      <c r="H55" s="13">
        <f>31.3+3.75</f>
        <v>35.049999999999997</v>
      </c>
      <c r="I55" s="14">
        <f>180.41</f>
        <v>180.41</v>
      </c>
      <c r="J55" s="13">
        <f>39.17+121.65+25.28</f>
        <v>186.1</v>
      </c>
      <c r="K55" s="14">
        <f>102.42+340.44+570</f>
        <v>1012.86</v>
      </c>
      <c r="L55" s="13">
        <f>240.94+36.83+484.5+404.7+69.85+136.88+221.48</f>
        <v>1595.1799999999998</v>
      </c>
      <c r="M55" s="14">
        <f>43.23+95.56</f>
        <v>138.79</v>
      </c>
      <c r="N55" s="15">
        <f>SUM(B55:M55)</f>
        <v>3861.06</v>
      </c>
      <c r="O55" s="10">
        <v>2800</v>
      </c>
      <c r="P55" s="84">
        <f>O55+N13</f>
        <v>3669.69</v>
      </c>
      <c r="Q55" s="84">
        <f>P55-N55</f>
        <v>-191.36999999999989</v>
      </c>
      <c r="R55" s="76" t="s">
        <v>202</v>
      </c>
    </row>
    <row r="56" spans="1:20" x14ac:dyDescent="0.25">
      <c r="A56" s="12" t="s">
        <v>70</v>
      </c>
      <c r="B56" s="13"/>
      <c r="C56" s="14"/>
      <c r="D56" s="13"/>
      <c r="E56" s="14">
        <v>100</v>
      </c>
      <c r="F56" s="13">
        <v>41.92</v>
      </c>
      <c r="G56" s="14">
        <f>69.99+47.99+213.9</f>
        <v>331.88</v>
      </c>
      <c r="H56" s="13">
        <f>50+100</f>
        <v>150</v>
      </c>
      <c r="I56" s="14"/>
      <c r="J56" s="13"/>
      <c r="K56" s="14"/>
      <c r="L56" s="13">
        <f>100+56.95</f>
        <v>156.94999999999999</v>
      </c>
      <c r="M56" s="14"/>
      <c r="N56" s="15">
        <f>SUM(B56:M56)</f>
        <v>780.75</v>
      </c>
      <c r="O56" s="10">
        <v>750</v>
      </c>
      <c r="P56" s="84"/>
      <c r="Q56" s="84">
        <f t="shared" si="4"/>
        <v>-30.75</v>
      </c>
    </row>
    <row r="57" spans="1:20" x14ac:dyDescent="0.25">
      <c r="A57" s="12" t="s">
        <v>71</v>
      </c>
      <c r="B57" s="13"/>
      <c r="C57" s="14"/>
      <c r="D57" s="13"/>
      <c r="E57" s="14"/>
      <c r="F57" s="13">
        <v>90</v>
      </c>
      <c r="G57" s="14"/>
      <c r="H57" s="13">
        <v>50</v>
      </c>
      <c r="I57" s="14"/>
      <c r="J57" s="13"/>
      <c r="K57" s="14"/>
      <c r="L57" s="13"/>
      <c r="M57" s="14"/>
      <c r="N57" s="15">
        <f t="shared" si="3"/>
        <v>140</v>
      </c>
      <c r="O57" s="10">
        <v>140</v>
      </c>
      <c r="P57" s="84"/>
      <c r="Q57" s="84">
        <f t="shared" si="4"/>
        <v>0</v>
      </c>
    </row>
    <row r="58" spans="1:20" x14ac:dyDescent="0.25">
      <c r="A58" s="12" t="s">
        <v>72</v>
      </c>
      <c r="B58" s="13"/>
      <c r="C58" s="14">
        <f>65</f>
        <v>65</v>
      </c>
      <c r="D58" s="13">
        <f>34+219.28+55+27.56-219.28+250</f>
        <v>366.55999999999995</v>
      </c>
      <c r="E58" s="14">
        <f>143.42+97.66+111.23+59.5+44.26+33.75</f>
        <v>489.82</v>
      </c>
      <c r="F58" s="13">
        <f>25.98+64.84+57.96+248.49+37.32</f>
        <v>434.59</v>
      </c>
      <c r="G58" s="14">
        <f>34.99+61.58+250+38.47+250+44.99+86.13</f>
        <v>766.16</v>
      </c>
      <c r="H58" s="13">
        <v>250</v>
      </c>
      <c r="I58" s="14">
        <f>62.36+18.95+58.62</f>
        <v>139.93</v>
      </c>
      <c r="J58" s="13">
        <f>38.93+115.77+100.77+250+45.9+34.49</f>
        <v>585.86</v>
      </c>
      <c r="K58" s="14">
        <f>63.35+93.78+128.64+250+38.38+250</f>
        <v>824.15</v>
      </c>
      <c r="L58" s="13">
        <f>30+192.04+26.97+61.45+77.94+211.81+103.07+131.19+159+250+250</f>
        <v>1493.47</v>
      </c>
      <c r="M58" s="14">
        <f>110.85+111.49+47.76+30.04+250+32+280.69+156.61+33.4+93.69+173.51+42.94+134.26</f>
        <v>1497.24</v>
      </c>
      <c r="N58" s="15">
        <f>SUM(B58:M58)</f>
        <v>6912.78</v>
      </c>
      <c r="O58" s="10">
        <v>8250</v>
      </c>
      <c r="P58" s="84"/>
      <c r="Q58" s="84">
        <f t="shared" si="4"/>
        <v>1337.2200000000003</v>
      </c>
    </row>
    <row r="59" spans="1:20" x14ac:dyDescent="0.25">
      <c r="A59" s="12" t="s">
        <v>73</v>
      </c>
      <c r="B59" s="13"/>
      <c r="C59" s="14"/>
      <c r="D59" s="13"/>
      <c r="E59" s="14"/>
      <c r="F59" s="13"/>
      <c r="G59" s="14"/>
      <c r="H59" s="13"/>
      <c r="I59" s="14"/>
      <c r="J59" s="13">
        <f>100+300</f>
        <v>400</v>
      </c>
      <c r="K59" s="14">
        <f>20+47.19</f>
        <v>67.19</v>
      </c>
      <c r="L59" s="13">
        <f>166.25+47.19</f>
        <v>213.44</v>
      </c>
      <c r="M59" s="14">
        <v>400</v>
      </c>
      <c r="N59" s="15">
        <f t="shared" si="3"/>
        <v>1080.6300000000001</v>
      </c>
      <c r="O59" s="10">
        <v>1000</v>
      </c>
      <c r="P59" s="84"/>
      <c r="Q59" s="84">
        <f t="shared" si="4"/>
        <v>-80.630000000000109</v>
      </c>
    </row>
    <row r="60" spans="1:20" x14ac:dyDescent="0.25">
      <c r="A60" s="12" t="s">
        <v>74</v>
      </c>
      <c r="B60" s="13"/>
      <c r="C60" s="14"/>
      <c r="D60" s="13"/>
      <c r="E60" s="14"/>
      <c r="F60" s="13"/>
      <c r="G60" s="14"/>
      <c r="H60" s="13"/>
      <c r="I60" s="14"/>
      <c r="J60" s="13"/>
      <c r="K60" s="14"/>
      <c r="L60" s="13">
        <v>150</v>
      </c>
      <c r="M60" s="14"/>
      <c r="N60" s="15">
        <f>SUM(B60:M60)</f>
        <v>150</v>
      </c>
      <c r="O60" s="10">
        <v>150</v>
      </c>
      <c r="P60" s="84"/>
      <c r="Q60" s="84">
        <f t="shared" si="4"/>
        <v>0</v>
      </c>
    </row>
    <row r="61" spans="1:20" ht="15.75" thickBot="1" x14ac:dyDescent="0.3">
      <c r="A61" s="20"/>
      <c r="B61" s="21"/>
      <c r="C61" s="22"/>
      <c r="D61" s="21"/>
      <c r="E61" s="22"/>
      <c r="F61" s="21"/>
      <c r="G61" s="22"/>
      <c r="H61" s="21"/>
      <c r="I61" s="22"/>
      <c r="J61" s="21"/>
      <c r="K61" s="22"/>
      <c r="L61" s="21"/>
      <c r="M61" s="22"/>
      <c r="N61" s="23"/>
      <c r="O61" s="24"/>
      <c r="P61" s="84"/>
      <c r="Q61" s="84"/>
    </row>
    <row r="62" spans="1:20" x14ac:dyDescent="0.25">
      <c r="A62" s="37" t="s">
        <v>75</v>
      </c>
      <c r="B62" s="38">
        <f t="shared" ref="B62:O62" si="5">SUM(B17:B61)</f>
        <v>0</v>
      </c>
      <c r="C62" s="39">
        <f t="shared" si="5"/>
        <v>4624.41</v>
      </c>
      <c r="D62" s="38">
        <f t="shared" si="5"/>
        <v>2127.1499999999996</v>
      </c>
      <c r="E62" s="39">
        <f t="shared" si="5"/>
        <v>5254.3899999999994</v>
      </c>
      <c r="F62" s="38">
        <f t="shared" si="5"/>
        <v>3326.03</v>
      </c>
      <c r="G62" s="39">
        <f t="shared" si="5"/>
        <v>5267.35</v>
      </c>
      <c r="H62" s="38">
        <f t="shared" si="5"/>
        <v>1460.76</v>
      </c>
      <c r="I62" s="39">
        <f t="shared" si="5"/>
        <v>1697.8600000000001</v>
      </c>
      <c r="J62" s="38">
        <f t="shared" si="5"/>
        <v>4255.08</v>
      </c>
      <c r="K62" s="39">
        <f t="shared" si="5"/>
        <v>3799.53</v>
      </c>
      <c r="L62" s="38">
        <f t="shared" si="5"/>
        <v>11677.470000000001</v>
      </c>
      <c r="M62" s="39">
        <f t="shared" si="5"/>
        <v>5978.6</v>
      </c>
      <c r="N62" s="40">
        <f t="shared" si="5"/>
        <v>49468.62999999999</v>
      </c>
      <c r="O62" s="41">
        <f t="shared" si="5"/>
        <v>60565</v>
      </c>
      <c r="P62" s="85"/>
      <c r="Q62" s="85"/>
      <c r="R62" s="82"/>
      <c r="S62" s="129"/>
      <c r="T62" s="19"/>
    </row>
    <row r="63" spans="1:20" x14ac:dyDescent="0.25">
      <c r="A63" s="42" t="s">
        <v>76</v>
      </c>
      <c r="B63" s="30"/>
      <c r="C63" s="43"/>
      <c r="D63" s="30"/>
      <c r="E63" s="43"/>
      <c r="F63" s="30"/>
      <c r="G63" s="43"/>
      <c r="H63" s="30"/>
      <c r="I63" s="43"/>
      <c r="J63" s="30"/>
      <c r="K63" s="43"/>
      <c r="L63" s="30"/>
      <c r="M63" s="43"/>
      <c r="N63" s="44">
        <f>N15-N62</f>
        <v>8923.1500000000087</v>
      </c>
      <c r="O63" s="45">
        <f>O15-O62</f>
        <v>-17515</v>
      </c>
      <c r="P63" s="86"/>
      <c r="Q63" s="86"/>
    </row>
    <row r="64" spans="1:20" s="11" customFormat="1" x14ac:dyDescent="0.25">
      <c r="A64" s="46" t="s">
        <v>77</v>
      </c>
      <c r="B64" s="30"/>
      <c r="C64" s="43"/>
      <c r="D64" s="30"/>
      <c r="E64" s="43"/>
      <c r="F64" s="30"/>
      <c r="G64" s="43"/>
      <c r="H64" s="30"/>
      <c r="I64" s="43"/>
      <c r="J64" s="30"/>
      <c r="K64" s="43"/>
      <c r="L64" s="30"/>
      <c r="M64" s="43"/>
      <c r="N64" s="44"/>
      <c r="O64" s="47"/>
      <c r="P64" s="87"/>
      <c r="Q64" s="87"/>
      <c r="R64" s="76"/>
      <c r="S64" s="129"/>
      <c r="T64"/>
    </row>
    <row r="65" spans="1:20" s="11" customFormat="1" x14ac:dyDescent="0.25">
      <c r="A65" s="48" t="s">
        <v>78</v>
      </c>
      <c r="B65" s="49">
        <f>0.91+1.1</f>
        <v>2.0100000000000002</v>
      </c>
      <c r="C65" s="50">
        <f>0.77+1.1</f>
        <v>1.87</v>
      </c>
      <c r="D65" s="50">
        <f>0.91+1.06</f>
        <v>1.9700000000000002</v>
      </c>
      <c r="E65" s="50">
        <f>1.1+1.2</f>
        <v>2.2999999999999998</v>
      </c>
      <c r="F65" s="50">
        <f>2.05+1.06</f>
        <v>3.11</v>
      </c>
      <c r="G65" s="50">
        <f>1.1+2.08</f>
        <v>3.18</v>
      </c>
      <c r="H65" s="50">
        <f>1.1+1.93</f>
        <v>3.0300000000000002</v>
      </c>
      <c r="I65" s="50">
        <f>1+1.69</f>
        <v>2.69</v>
      </c>
      <c r="J65" s="49">
        <f>1.1+1.88</f>
        <v>2.98</v>
      </c>
      <c r="K65" s="50">
        <f>1.07+1.7</f>
        <v>2.77</v>
      </c>
      <c r="L65" s="49">
        <f>1.1+1.65</f>
        <v>2.75</v>
      </c>
      <c r="M65" s="50"/>
      <c r="N65" s="51">
        <f>SUM(B65:M65)</f>
        <v>28.66</v>
      </c>
      <c r="O65" s="52">
        <v>10</v>
      </c>
      <c r="P65" s="88"/>
      <c r="Q65" s="88"/>
      <c r="R65" s="142"/>
      <c r="S65"/>
      <c r="T65"/>
    </row>
    <row r="66" spans="1:20" s="11" customFormat="1" x14ac:dyDescent="0.25">
      <c r="A66" s="53" t="s">
        <v>79</v>
      </c>
      <c r="B66" s="49">
        <f>10.22+8</f>
        <v>18.22</v>
      </c>
      <c r="C66" s="50">
        <f>10.24+10.21</f>
        <v>20.450000000000003</v>
      </c>
      <c r="D66" s="49">
        <f>9.93+9.9</f>
        <v>19.829999999999998</v>
      </c>
      <c r="E66" s="50">
        <f>10.28+10.25</f>
        <v>20.53</v>
      </c>
      <c r="F66" s="49">
        <f>9.93+9.96</f>
        <v>19.89</v>
      </c>
      <c r="G66" s="50">
        <f>10.32+10.28</f>
        <v>20.6</v>
      </c>
      <c r="H66" s="49">
        <f>11.03+10.33</f>
        <v>21.36</v>
      </c>
      <c r="I66" s="50">
        <f>10.43+9.35</f>
        <v>19.78</v>
      </c>
      <c r="J66" s="49">
        <f>11.57+10.37</f>
        <v>21.939999999999998</v>
      </c>
      <c r="K66" s="50">
        <f>11.22+10.05</f>
        <v>21.270000000000003</v>
      </c>
      <c r="L66" s="49">
        <f>11.62+10.41</f>
        <v>22.03</v>
      </c>
      <c r="M66" s="50"/>
      <c r="N66" s="51">
        <f>SUM(B66:M66)</f>
        <v>225.9</v>
      </c>
      <c r="O66" s="52">
        <v>100</v>
      </c>
      <c r="P66" s="88"/>
      <c r="Q66" s="128"/>
      <c r="R66" s="76"/>
      <c r="S66" s="140"/>
      <c r="T66"/>
    </row>
    <row r="67" spans="1:20" s="11" customFormat="1" x14ac:dyDescent="0.25">
      <c r="A67" s="54" t="s">
        <v>80</v>
      </c>
      <c r="B67" s="55"/>
      <c r="C67" s="56"/>
      <c r="D67" s="55"/>
      <c r="E67" s="56"/>
      <c r="F67" s="55"/>
      <c r="G67" s="56"/>
      <c r="H67" s="55"/>
      <c r="I67" s="56"/>
      <c r="J67" s="55"/>
      <c r="K67" s="56"/>
      <c r="L67" s="55"/>
      <c r="M67" s="56"/>
      <c r="N67" s="57">
        <f>N65+N66</f>
        <v>254.56</v>
      </c>
      <c r="O67" s="58">
        <f>SUM(O65:O66)</f>
        <v>110</v>
      </c>
      <c r="P67" s="86"/>
      <c r="Q67" s="86"/>
      <c r="R67" s="76"/>
      <c r="S67"/>
      <c r="T67"/>
    </row>
    <row r="68" spans="1:20" s="11" customFormat="1" ht="15.75" thickBot="1" x14ac:dyDescent="0.3">
      <c r="A68" s="59" t="s">
        <v>81</v>
      </c>
      <c r="B68" s="60"/>
      <c r="C68" s="61"/>
      <c r="D68" s="60"/>
      <c r="E68" s="61"/>
      <c r="F68" s="60"/>
      <c r="G68" s="61"/>
      <c r="H68" s="60"/>
      <c r="I68" s="61"/>
      <c r="J68" s="60"/>
      <c r="K68" s="61"/>
      <c r="L68" s="60"/>
      <c r="M68" s="61"/>
      <c r="N68" s="62">
        <f>N63+N67</f>
        <v>9177.7100000000082</v>
      </c>
      <c r="O68" s="63">
        <f>(O63)+(O67)</f>
        <v>-17405</v>
      </c>
      <c r="P68" s="86"/>
      <c r="Q68" s="86"/>
      <c r="R68" s="76"/>
      <c r="S68" s="140"/>
      <c r="T68"/>
    </row>
    <row r="69" spans="1:20" s="11" customFormat="1" ht="15.75" thickBot="1" x14ac:dyDescent="0.3">
      <c r="A69" s="64"/>
      <c r="B69" s="65"/>
      <c r="C69" s="65"/>
      <c r="D69" s="65"/>
      <c r="E69" s="65"/>
      <c r="F69" s="65"/>
      <c r="G69" s="65"/>
      <c r="H69" s="65"/>
      <c r="I69" s="65"/>
      <c r="J69" s="65"/>
      <c r="K69" s="65"/>
      <c r="L69" s="65"/>
      <c r="M69" s="65"/>
      <c r="N69" s="65"/>
      <c r="O69" s="66"/>
      <c r="P69" s="89"/>
      <c r="Q69" s="89"/>
      <c r="R69" s="76"/>
      <c r="S69"/>
      <c r="T69"/>
    </row>
    <row r="70" spans="1:20" s="11" customFormat="1" ht="15.75" thickBot="1" x14ac:dyDescent="0.3">
      <c r="A70" s="150" t="s">
        <v>220</v>
      </c>
      <c r="B70" s="151"/>
      <c r="C70" s="152"/>
      <c r="D70" s="16"/>
      <c r="E70" s="125" t="s">
        <v>82</v>
      </c>
      <c r="F70" s="16"/>
      <c r="G70" s="16"/>
      <c r="H70" s="16"/>
      <c r="I70" s="16"/>
      <c r="J70" s="16"/>
      <c r="K70" s="16"/>
      <c r="L70" s="16"/>
      <c r="M70" s="16"/>
      <c r="N70" s="16"/>
      <c r="O70" s="67"/>
      <c r="P70" s="90"/>
      <c r="Q70" s="90"/>
      <c r="R70" s="76"/>
      <c r="S70"/>
      <c r="T70"/>
    </row>
    <row r="71" spans="1:20" s="11" customFormat="1" x14ac:dyDescent="0.25">
      <c r="A71" s="68" t="s">
        <v>83</v>
      </c>
      <c r="B71" s="146">
        <v>36522.589999999997</v>
      </c>
      <c r="C71" s="147"/>
      <c r="D71" s="16"/>
      <c r="E71" s="126" t="s">
        <v>216</v>
      </c>
      <c r="F71" s="16"/>
      <c r="G71" s="16"/>
      <c r="H71" s="16"/>
      <c r="I71" s="16"/>
      <c r="J71" s="16"/>
      <c r="K71" s="16"/>
      <c r="L71" s="16"/>
      <c r="M71" s="16"/>
      <c r="N71" s="16"/>
      <c r="O71" s="67"/>
      <c r="P71" s="90"/>
      <c r="Q71" s="90"/>
      <c r="R71" s="76"/>
      <c r="S71"/>
      <c r="T71"/>
    </row>
    <row r="72" spans="1:20" s="11" customFormat="1" x14ac:dyDescent="0.25">
      <c r="A72" s="68" t="s">
        <v>84</v>
      </c>
      <c r="B72" s="146">
        <v>12978.51</v>
      </c>
      <c r="C72" s="147"/>
      <c r="D72" s="16"/>
      <c r="E72" s="126" t="s">
        <v>217</v>
      </c>
      <c r="F72" s="16"/>
      <c r="G72" s="16"/>
      <c r="H72" s="16"/>
      <c r="I72" s="16"/>
      <c r="J72" s="16"/>
      <c r="K72" s="16"/>
      <c r="L72" s="16"/>
      <c r="M72" s="16"/>
      <c r="N72" s="16"/>
      <c r="O72" s="67"/>
      <c r="P72" s="90"/>
      <c r="Q72" s="90"/>
      <c r="R72" s="76"/>
      <c r="S72"/>
      <c r="T72"/>
    </row>
    <row r="73" spans="1:20" s="11" customFormat="1" x14ac:dyDescent="0.25">
      <c r="A73" s="69" t="s">
        <v>85</v>
      </c>
      <c r="B73" s="146">
        <v>5522.51</v>
      </c>
      <c r="C73" s="147"/>
      <c r="D73" s="16"/>
      <c r="E73" s="126"/>
      <c r="F73" s="126" t="s">
        <v>218</v>
      </c>
      <c r="G73" s="127"/>
      <c r="H73" s="127"/>
      <c r="I73" s="127"/>
      <c r="J73" s="127"/>
      <c r="K73" s="127"/>
      <c r="L73" s="127"/>
      <c r="M73" s="16"/>
      <c r="N73" s="16"/>
      <c r="O73" s="67"/>
      <c r="P73" s="90"/>
      <c r="Q73" s="90"/>
      <c r="R73" s="76"/>
      <c r="S73"/>
      <c r="T73"/>
    </row>
    <row r="74" spans="1:20" s="11" customFormat="1" x14ac:dyDescent="0.25">
      <c r="A74" s="69" t="s">
        <v>86</v>
      </c>
      <c r="B74" s="146">
        <v>5500.39</v>
      </c>
      <c r="C74" s="147"/>
      <c r="D74" s="16"/>
      <c r="E74" s="126"/>
      <c r="F74" s="126" t="s">
        <v>219</v>
      </c>
      <c r="G74" s="127"/>
      <c r="H74" s="127"/>
      <c r="I74" s="127"/>
      <c r="J74" s="127"/>
      <c r="K74" s="127"/>
      <c r="L74" s="127"/>
      <c r="M74" s="16"/>
      <c r="N74" s="16"/>
      <c r="O74" s="67"/>
      <c r="P74" s="90"/>
      <c r="Q74" s="90"/>
      <c r="R74" s="76"/>
      <c r="S74"/>
      <c r="T74"/>
    </row>
    <row r="75" spans="1:20" s="11" customFormat="1" ht="15.75" thickBot="1" x14ac:dyDescent="0.3">
      <c r="A75" s="70" t="s">
        <v>87</v>
      </c>
      <c r="B75" s="146">
        <v>310</v>
      </c>
      <c r="C75" s="147"/>
      <c r="D75" s="16"/>
      <c r="E75" s="126" t="s">
        <v>221</v>
      </c>
      <c r="F75" s="127"/>
      <c r="G75" s="127"/>
      <c r="H75" s="127"/>
      <c r="I75" s="127"/>
      <c r="J75" s="127"/>
      <c r="K75" s="127"/>
      <c r="L75" s="127"/>
      <c r="M75" s="16"/>
      <c r="N75" s="16"/>
      <c r="O75" s="67"/>
      <c r="P75" s="90"/>
      <c r="Q75" s="90"/>
      <c r="R75" s="76"/>
      <c r="S75"/>
      <c r="T75"/>
    </row>
    <row r="76" spans="1:20" s="11" customFormat="1" ht="15.75" thickBot="1" x14ac:dyDescent="0.3">
      <c r="A76" s="71"/>
      <c r="B76" s="148">
        <f>SUM(B71:C75)</f>
        <v>60834</v>
      </c>
      <c r="C76" s="149"/>
      <c r="D76" s="16"/>
      <c r="E76" s="126" t="s">
        <v>222</v>
      </c>
      <c r="F76" s="16"/>
      <c r="G76" s="16"/>
      <c r="H76" s="16"/>
      <c r="I76" s="16"/>
      <c r="J76" s="16"/>
      <c r="K76" s="16"/>
      <c r="L76" s="16"/>
      <c r="M76" s="16"/>
      <c r="N76" s="16"/>
      <c r="O76" s="67"/>
      <c r="P76" s="90"/>
      <c r="Q76" s="90"/>
      <c r="R76" s="76"/>
      <c r="S76"/>
      <c r="T76"/>
    </row>
    <row r="77" spans="1:20" x14ac:dyDescent="0.25">
      <c r="E77" s="126" t="s">
        <v>223</v>
      </c>
    </row>
    <row r="78" spans="1:20" s="11" customFormat="1" x14ac:dyDescent="0.25">
      <c r="A78" s="72"/>
      <c r="B78" s="73"/>
      <c r="C78" s="74"/>
      <c r="D78" s="16"/>
      <c r="E78" s="126" t="s">
        <v>224</v>
      </c>
      <c r="F78" s="16"/>
      <c r="G78" s="16"/>
      <c r="H78" s="16"/>
      <c r="I78" s="16"/>
      <c r="J78" s="16"/>
      <c r="K78" s="16"/>
      <c r="L78" s="16"/>
      <c r="M78" s="16"/>
      <c r="N78" s="16"/>
      <c r="O78" s="67"/>
      <c r="P78" s="90"/>
      <c r="Q78" s="90"/>
      <c r="R78" s="76"/>
      <c r="S78"/>
      <c r="T78"/>
    </row>
    <row r="80" spans="1:20" s="16" customFormat="1" x14ac:dyDescent="0.25">
      <c r="A80" s="68"/>
      <c r="O80" s="67"/>
      <c r="P80" s="90"/>
      <c r="Q80" s="90"/>
      <c r="R80" s="76"/>
      <c r="S80"/>
      <c r="T80"/>
    </row>
  </sheetData>
  <mergeCells count="7">
    <mergeCell ref="B75:C75"/>
    <mergeCell ref="B76:C76"/>
    <mergeCell ref="A70:C70"/>
    <mergeCell ref="B71:C71"/>
    <mergeCell ref="B72:C72"/>
    <mergeCell ref="B73:C73"/>
    <mergeCell ref="B74:C74"/>
  </mergeCells>
  <printOptions horizontalCentered="1"/>
  <pageMargins left="0.25" right="0.25" top="0.45" bottom="0.2" header="0.4" footer="0.2"/>
  <pageSetup scale="61" orientation="portrait" r:id="rId1"/>
  <headerFooter>
    <oddHeader xml:space="preserve">&amp;L&amp;"-,Italic"&amp;9Printed by E. Davis on &amp;D&amp;CPTO Budget for the 2024-2025 School Year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3CC1-4A06-464D-BD37-EE7EA60EE01E}">
  <dimension ref="B2:J40"/>
  <sheetViews>
    <sheetView topLeftCell="B13" zoomScale="106" zoomScaleNormal="106" workbookViewId="0">
      <selection activeCell="G11" sqref="G11"/>
    </sheetView>
  </sheetViews>
  <sheetFormatPr defaultRowHeight="15" x14ac:dyDescent="0.25"/>
  <cols>
    <col min="1" max="1" width="2.28515625" customWidth="1"/>
    <col min="2" max="2" width="13.28515625" bestFit="1" customWidth="1"/>
    <col min="3" max="3" width="20.7109375" customWidth="1"/>
    <col min="4" max="4" width="9.5703125" bestFit="1" customWidth="1"/>
    <col min="5" max="5" width="10.85546875" style="93" bestFit="1" customWidth="1"/>
    <col min="6" max="6" width="11.140625" style="93" bestFit="1" customWidth="1"/>
    <col min="7" max="7" width="9.85546875" bestFit="1" customWidth="1"/>
    <col min="8" max="8" width="11.28515625" customWidth="1"/>
  </cols>
  <sheetData>
    <row r="2" spans="2:10" x14ac:dyDescent="0.25">
      <c r="B2" s="91">
        <v>45527</v>
      </c>
      <c r="D2" s="92"/>
      <c r="F2" s="94"/>
      <c r="G2" s="95"/>
      <c r="H2" s="96">
        <v>150</v>
      </c>
    </row>
    <row r="3" spans="2:10" s="102" customFormat="1" ht="45" x14ac:dyDescent="0.25">
      <c r="B3" s="97" t="s">
        <v>88</v>
      </c>
      <c r="C3" s="97" t="s">
        <v>89</v>
      </c>
      <c r="D3" s="98" t="s">
        <v>29</v>
      </c>
      <c r="E3" s="99" t="s">
        <v>90</v>
      </c>
      <c r="F3" s="123" t="s">
        <v>30</v>
      </c>
      <c r="G3" s="100" t="s">
        <v>91</v>
      </c>
      <c r="H3" s="101" t="s">
        <v>92</v>
      </c>
    </row>
    <row r="4" spans="2:10" x14ac:dyDescent="0.25">
      <c r="B4" s="103" t="s">
        <v>93</v>
      </c>
      <c r="C4" s="103" t="s">
        <v>94</v>
      </c>
      <c r="D4" s="104">
        <v>250</v>
      </c>
      <c r="E4" s="105">
        <v>250</v>
      </c>
      <c r="F4" s="124">
        <f>D4-E4</f>
        <v>0</v>
      </c>
      <c r="G4" s="106">
        <v>124.06</v>
      </c>
      <c r="H4" s="107">
        <f>$H$2-G4</f>
        <v>25.939999999999998</v>
      </c>
    </row>
    <row r="5" spans="2:10" x14ac:dyDescent="0.25">
      <c r="B5" s="103" t="s">
        <v>95</v>
      </c>
      <c r="C5" s="103" t="s">
        <v>96</v>
      </c>
      <c r="D5" s="104">
        <v>250</v>
      </c>
      <c r="E5" s="105">
        <v>250</v>
      </c>
      <c r="F5" s="124">
        <f t="shared" ref="F5:F35" si="0">D5-E5</f>
        <v>0</v>
      </c>
      <c r="G5" s="106">
        <v>24.99</v>
      </c>
      <c r="H5" s="107">
        <f>$H$2-G5</f>
        <v>125.01</v>
      </c>
    </row>
    <row r="6" spans="2:10" x14ac:dyDescent="0.25">
      <c r="B6" s="103" t="s">
        <v>95</v>
      </c>
      <c r="C6" s="103" t="s">
        <v>97</v>
      </c>
      <c r="D6" s="104">
        <v>250</v>
      </c>
      <c r="E6" s="105">
        <v>250</v>
      </c>
      <c r="F6" s="124">
        <f t="shared" si="0"/>
        <v>0</v>
      </c>
      <c r="G6" s="106">
        <f>32.75+44.52</f>
        <v>77.27000000000001</v>
      </c>
      <c r="H6" s="107">
        <f>$H$2-G6</f>
        <v>72.72999999999999</v>
      </c>
    </row>
    <row r="7" spans="2:10" x14ac:dyDescent="0.25">
      <c r="B7" s="103" t="s">
        <v>95</v>
      </c>
      <c r="C7" s="103" t="s">
        <v>98</v>
      </c>
      <c r="D7" s="104">
        <v>250</v>
      </c>
      <c r="E7" s="105">
        <v>250</v>
      </c>
      <c r="F7" s="124">
        <f t="shared" si="0"/>
        <v>0</v>
      </c>
      <c r="G7" s="106"/>
      <c r="H7" s="107">
        <f t="shared" ref="H7:H20" si="1">$H$2-G7</f>
        <v>150</v>
      </c>
    </row>
    <row r="8" spans="2:10" x14ac:dyDescent="0.25">
      <c r="B8" s="103" t="s">
        <v>99</v>
      </c>
      <c r="C8" s="103" t="s">
        <v>100</v>
      </c>
      <c r="D8" s="104">
        <v>250</v>
      </c>
      <c r="E8" s="105"/>
      <c r="F8" s="124">
        <f t="shared" si="0"/>
        <v>250</v>
      </c>
      <c r="G8" s="106">
        <f>36.48+25</f>
        <v>61.48</v>
      </c>
      <c r="H8" s="107">
        <f t="shared" si="1"/>
        <v>88.52000000000001</v>
      </c>
    </row>
    <row r="9" spans="2:10" x14ac:dyDescent="0.25">
      <c r="B9" s="103" t="s">
        <v>99</v>
      </c>
      <c r="C9" s="103" t="s">
        <v>101</v>
      </c>
      <c r="D9" s="104">
        <v>250</v>
      </c>
      <c r="E9" s="105">
        <v>250</v>
      </c>
      <c r="F9" s="124">
        <f t="shared" si="0"/>
        <v>0</v>
      </c>
      <c r="G9" s="106">
        <f>43.96+25</f>
        <v>68.960000000000008</v>
      </c>
      <c r="H9" s="107">
        <f t="shared" si="1"/>
        <v>81.039999999999992</v>
      </c>
    </row>
    <row r="10" spans="2:10" x14ac:dyDescent="0.25">
      <c r="B10" s="103" t="s">
        <v>102</v>
      </c>
      <c r="C10" s="114" t="s">
        <v>103</v>
      </c>
      <c r="D10" s="104">
        <v>250</v>
      </c>
      <c r="E10" s="105">
        <v>248.49</v>
      </c>
      <c r="F10" s="124">
        <f t="shared" si="0"/>
        <v>1.5099999999999909</v>
      </c>
      <c r="G10" s="106">
        <v>11.98</v>
      </c>
      <c r="H10" s="107">
        <f t="shared" si="1"/>
        <v>138.02000000000001</v>
      </c>
    </row>
    <row r="11" spans="2:10" x14ac:dyDescent="0.25">
      <c r="B11" s="103" t="s">
        <v>102</v>
      </c>
      <c r="C11" s="103" t="s">
        <v>104</v>
      </c>
      <c r="D11" s="104">
        <v>250</v>
      </c>
      <c r="E11" s="105">
        <v>33.4</v>
      </c>
      <c r="F11" s="124">
        <f t="shared" si="0"/>
        <v>216.6</v>
      </c>
      <c r="G11" s="106"/>
      <c r="H11" s="107">
        <f t="shared" si="1"/>
        <v>150</v>
      </c>
    </row>
    <row r="12" spans="2:10" x14ac:dyDescent="0.25">
      <c r="B12" s="103" t="s">
        <v>102</v>
      </c>
      <c r="C12" s="103" t="s">
        <v>105</v>
      </c>
      <c r="D12" s="104">
        <v>250</v>
      </c>
      <c r="E12" s="105">
        <v>250</v>
      </c>
      <c r="F12" s="124">
        <f t="shared" si="0"/>
        <v>0</v>
      </c>
      <c r="G12" s="106"/>
      <c r="H12" s="107">
        <f t="shared" si="1"/>
        <v>150</v>
      </c>
    </row>
    <row r="13" spans="2:10" x14ac:dyDescent="0.25">
      <c r="B13" s="103" t="s">
        <v>106</v>
      </c>
      <c r="C13" s="103" t="s">
        <v>107</v>
      </c>
      <c r="D13" s="104">
        <v>250</v>
      </c>
      <c r="E13" s="144">
        <v>211.76</v>
      </c>
      <c r="F13" s="124">
        <f t="shared" si="0"/>
        <v>38.240000000000009</v>
      </c>
      <c r="G13" s="106">
        <f>50+45.04+28.02</f>
        <v>123.05999999999999</v>
      </c>
      <c r="H13" s="107">
        <f t="shared" si="1"/>
        <v>26.940000000000012</v>
      </c>
    </row>
    <row r="14" spans="2:10" x14ac:dyDescent="0.25">
      <c r="B14" s="103" t="s">
        <v>106</v>
      </c>
      <c r="C14" s="103" t="s">
        <v>108</v>
      </c>
      <c r="D14" s="104">
        <v>250</v>
      </c>
      <c r="E14" s="144">
        <f>68.93+173.51</f>
        <v>242.44</v>
      </c>
      <c r="F14" s="124">
        <f t="shared" si="0"/>
        <v>7.5600000000000023</v>
      </c>
      <c r="G14" s="106">
        <f>50+28.01</f>
        <v>78.010000000000005</v>
      </c>
      <c r="H14" s="107">
        <f t="shared" si="1"/>
        <v>71.989999999999995</v>
      </c>
    </row>
    <row r="15" spans="2:10" x14ac:dyDescent="0.25">
      <c r="B15" s="103" t="s">
        <v>109</v>
      </c>
      <c r="C15" s="103" t="s">
        <v>110</v>
      </c>
      <c r="D15" s="104">
        <v>250</v>
      </c>
      <c r="E15" s="105">
        <f>33.75+86.13+62.36+20+47.76</f>
        <v>250</v>
      </c>
      <c r="F15" s="124">
        <f t="shared" si="0"/>
        <v>0</v>
      </c>
      <c r="G15" s="106">
        <f>35.84+24.89</f>
        <v>60.730000000000004</v>
      </c>
      <c r="H15" s="107">
        <f t="shared" si="1"/>
        <v>89.27</v>
      </c>
    </row>
    <row r="16" spans="2:10" x14ac:dyDescent="0.25">
      <c r="B16" s="103" t="s">
        <v>109</v>
      </c>
      <c r="C16" s="103" t="s">
        <v>111</v>
      </c>
      <c r="D16" s="104">
        <v>250</v>
      </c>
      <c r="E16" s="105">
        <f>58.62+21.45+26.99+84.5+42.94</f>
        <v>234.5</v>
      </c>
      <c r="F16" s="124">
        <f t="shared" si="0"/>
        <v>15.5</v>
      </c>
      <c r="G16" s="106">
        <f>50+24.89</f>
        <v>74.89</v>
      </c>
      <c r="H16" s="107">
        <f t="shared" si="1"/>
        <v>75.11</v>
      </c>
      <c r="J16" s="145"/>
    </row>
    <row r="17" spans="2:10" x14ac:dyDescent="0.25">
      <c r="B17" s="103" t="s">
        <v>109</v>
      </c>
      <c r="C17" s="103" t="s">
        <v>112</v>
      </c>
      <c r="D17" s="104">
        <v>250</v>
      </c>
      <c r="E17" s="105">
        <f>20+211.81</f>
        <v>231.81</v>
      </c>
      <c r="F17" s="124">
        <f t="shared" si="0"/>
        <v>18.189999999999998</v>
      </c>
      <c r="G17" s="106">
        <f>74.67/3</f>
        <v>24.89</v>
      </c>
      <c r="H17" s="107">
        <f t="shared" si="1"/>
        <v>125.11</v>
      </c>
      <c r="J17" s="145"/>
    </row>
    <row r="18" spans="2:10" x14ac:dyDescent="0.25">
      <c r="B18" s="103" t="s">
        <v>113</v>
      </c>
      <c r="C18" s="103" t="s">
        <v>114</v>
      </c>
      <c r="D18" s="104">
        <v>250</v>
      </c>
      <c r="E18" s="105">
        <f>63.35+26.97+159</f>
        <v>249.32</v>
      </c>
      <c r="F18" s="124">
        <f t="shared" si="0"/>
        <v>0.68000000000000682</v>
      </c>
      <c r="G18" s="106"/>
      <c r="H18" s="107">
        <f t="shared" si="1"/>
        <v>150</v>
      </c>
      <c r="J18" s="145"/>
    </row>
    <row r="19" spans="2:10" x14ac:dyDescent="0.25">
      <c r="B19" s="103" t="s">
        <v>113</v>
      </c>
      <c r="C19" s="103" t="s">
        <v>115</v>
      </c>
      <c r="D19" s="104">
        <v>250</v>
      </c>
      <c r="E19" s="105">
        <v>250</v>
      </c>
      <c r="F19" s="124">
        <f t="shared" si="0"/>
        <v>0</v>
      </c>
      <c r="G19" s="106">
        <f>50+83.66</f>
        <v>133.66</v>
      </c>
      <c r="H19" s="107">
        <f t="shared" si="1"/>
        <v>16.340000000000003</v>
      </c>
    </row>
    <row r="20" spans="2:10" x14ac:dyDescent="0.25">
      <c r="B20" s="103" t="s">
        <v>113</v>
      </c>
      <c r="C20" s="103" t="s">
        <v>116</v>
      </c>
      <c r="D20" s="104">
        <v>250</v>
      </c>
      <c r="E20" s="105">
        <f>103.07+30.04</f>
        <v>133.10999999999999</v>
      </c>
      <c r="F20" s="124">
        <f t="shared" si="0"/>
        <v>116.89000000000001</v>
      </c>
      <c r="G20" s="106"/>
      <c r="H20" s="107">
        <f t="shared" si="1"/>
        <v>150</v>
      </c>
    </row>
    <row r="21" spans="2:10" x14ac:dyDescent="0.25">
      <c r="B21" s="103" t="s">
        <v>117</v>
      </c>
      <c r="C21" s="103" t="s">
        <v>118</v>
      </c>
      <c r="D21" s="104">
        <v>250</v>
      </c>
      <c r="E21" s="105">
        <v>250</v>
      </c>
      <c r="F21" s="124">
        <f t="shared" si="0"/>
        <v>0</v>
      </c>
      <c r="G21" s="108"/>
    </row>
    <row r="22" spans="2:10" x14ac:dyDescent="0.25">
      <c r="B22" s="103" t="s">
        <v>117</v>
      </c>
      <c r="C22" s="103" t="s">
        <v>119</v>
      </c>
      <c r="D22" s="104">
        <v>250</v>
      </c>
      <c r="E22" s="105">
        <f>143.42+59.5+45.9</f>
        <v>248.82</v>
      </c>
      <c r="F22" s="124">
        <f t="shared" si="0"/>
        <v>1.1800000000000068</v>
      </c>
      <c r="G22" s="108"/>
    </row>
    <row r="23" spans="2:10" x14ac:dyDescent="0.25">
      <c r="B23" s="103" t="s">
        <v>120</v>
      </c>
      <c r="C23" s="103" t="s">
        <v>121</v>
      </c>
      <c r="D23" s="104">
        <v>250</v>
      </c>
      <c r="E23" s="105">
        <v>156.61000000000001</v>
      </c>
      <c r="F23" s="124">
        <f t="shared" si="0"/>
        <v>93.389999999999986</v>
      </c>
      <c r="G23" s="108"/>
    </row>
    <row r="24" spans="2:10" x14ac:dyDescent="0.25">
      <c r="B24" s="103" t="s">
        <v>122</v>
      </c>
      <c r="C24" s="103" t="s">
        <v>123</v>
      </c>
      <c r="D24" s="104">
        <v>250</v>
      </c>
      <c r="E24" s="105">
        <f>38.47+38.93+77.94+93.69</f>
        <v>249.03</v>
      </c>
      <c r="F24" s="124">
        <f t="shared" si="0"/>
        <v>0.96999999999999886</v>
      </c>
      <c r="G24" s="108"/>
    </row>
    <row r="25" spans="2:10" x14ac:dyDescent="0.25">
      <c r="B25" s="103" t="s">
        <v>124</v>
      </c>
      <c r="C25" s="103" t="s">
        <v>125</v>
      </c>
      <c r="D25" s="104">
        <v>250</v>
      </c>
      <c r="E25" s="143">
        <f>100.77+38.38+110.85</f>
        <v>250</v>
      </c>
      <c r="F25" s="124">
        <f t="shared" si="0"/>
        <v>0</v>
      </c>
      <c r="G25" s="108"/>
    </row>
    <row r="26" spans="2:10" x14ac:dyDescent="0.25">
      <c r="B26" s="103" t="s">
        <v>124</v>
      </c>
      <c r="C26" s="103" t="s">
        <v>126</v>
      </c>
      <c r="D26" s="104">
        <v>250</v>
      </c>
      <c r="E26" s="105">
        <v>250</v>
      </c>
      <c r="F26" s="124">
        <f t="shared" si="0"/>
        <v>0</v>
      </c>
      <c r="G26" s="108"/>
    </row>
    <row r="27" spans="2:10" x14ac:dyDescent="0.25">
      <c r="B27" s="103" t="s">
        <v>127</v>
      </c>
      <c r="C27" s="103" t="s">
        <v>128</v>
      </c>
      <c r="D27" s="104">
        <v>250</v>
      </c>
      <c r="E27" s="105">
        <f>115.77+131.19</f>
        <v>246.95999999999998</v>
      </c>
      <c r="F27" s="124">
        <f t="shared" si="0"/>
        <v>3.0400000000000205</v>
      </c>
      <c r="G27" s="108"/>
    </row>
    <row r="28" spans="2:10" x14ac:dyDescent="0.25">
      <c r="B28" s="103" t="s">
        <v>127</v>
      </c>
      <c r="C28" s="103" t="s">
        <v>129</v>
      </c>
      <c r="D28" s="104">
        <v>250</v>
      </c>
      <c r="E28" s="105">
        <f>111.23+44.99+93.78</f>
        <v>250</v>
      </c>
      <c r="F28" s="124">
        <f t="shared" si="0"/>
        <v>0</v>
      </c>
      <c r="G28" s="108"/>
    </row>
    <row r="29" spans="2:10" x14ac:dyDescent="0.25">
      <c r="B29" s="103" t="s">
        <v>130</v>
      </c>
      <c r="C29" s="103" t="s">
        <v>131</v>
      </c>
      <c r="D29" s="104">
        <v>250</v>
      </c>
      <c r="E29" s="105">
        <f>65+34+55+25.98+30+32</f>
        <v>241.98</v>
      </c>
      <c r="F29" s="124">
        <f t="shared" si="0"/>
        <v>8.0200000000000102</v>
      </c>
      <c r="G29" s="108"/>
    </row>
    <row r="30" spans="2:10" x14ac:dyDescent="0.25">
      <c r="B30" s="103" t="s">
        <v>132</v>
      </c>
      <c r="C30" s="103" t="s">
        <v>133</v>
      </c>
      <c r="D30" s="104" t="s">
        <v>134</v>
      </c>
      <c r="E30" s="105"/>
      <c r="F30" s="124"/>
      <c r="G30" s="108"/>
    </row>
    <row r="31" spans="2:10" x14ac:dyDescent="0.25">
      <c r="B31" s="103" t="s">
        <v>135</v>
      </c>
      <c r="C31" s="103" t="s">
        <v>136</v>
      </c>
      <c r="D31" s="104">
        <v>250</v>
      </c>
      <c r="E31" s="105">
        <f>27.56+34.99+134.26</f>
        <v>196.81</v>
      </c>
      <c r="F31" s="124">
        <f t="shared" si="0"/>
        <v>53.19</v>
      </c>
      <c r="G31" s="108"/>
    </row>
    <row r="32" spans="2:10" x14ac:dyDescent="0.25">
      <c r="B32" s="103" t="s">
        <v>137</v>
      </c>
      <c r="C32" s="103" t="s">
        <v>138</v>
      </c>
      <c r="D32" s="104">
        <v>250</v>
      </c>
      <c r="E32" s="105">
        <f>97.66+37.32+61.58+18.95+34.49</f>
        <v>250</v>
      </c>
      <c r="F32" s="124">
        <f t="shared" si="0"/>
        <v>0</v>
      </c>
      <c r="G32" s="108"/>
    </row>
    <row r="33" spans="2:9" x14ac:dyDescent="0.25">
      <c r="B33" s="103" t="s">
        <v>139</v>
      </c>
      <c r="C33" s="103" t="s">
        <v>140</v>
      </c>
      <c r="D33" s="104">
        <v>250</v>
      </c>
      <c r="E33" s="105">
        <v>250</v>
      </c>
      <c r="F33" s="124">
        <f t="shared" si="0"/>
        <v>0</v>
      </c>
      <c r="G33" s="108"/>
    </row>
    <row r="34" spans="2:9" x14ac:dyDescent="0.25">
      <c r="B34" s="103" t="s">
        <v>141</v>
      </c>
      <c r="C34" s="103" t="s">
        <v>142</v>
      </c>
      <c r="D34" s="104">
        <v>250</v>
      </c>
      <c r="E34" s="105">
        <f>57.96+192.04</f>
        <v>250</v>
      </c>
      <c r="F34" s="124">
        <f t="shared" si="0"/>
        <v>0</v>
      </c>
      <c r="G34" s="108"/>
    </row>
    <row r="35" spans="2:9" x14ac:dyDescent="0.25">
      <c r="B35" s="103" t="s">
        <v>143</v>
      </c>
      <c r="C35" s="103" t="s">
        <v>144</v>
      </c>
      <c r="D35" s="109">
        <v>250</v>
      </c>
      <c r="E35" s="105">
        <f>44.26+64.84+82.9+45.74</f>
        <v>237.74</v>
      </c>
      <c r="F35" s="124">
        <f t="shared" si="0"/>
        <v>12.259999999999991</v>
      </c>
      <c r="G35" s="108"/>
      <c r="H35" s="110"/>
    </row>
    <row r="36" spans="2:9" ht="15.75" thickBot="1" x14ac:dyDescent="0.3">
      <c r="D36" s="92"/>
      <c r="G36" s="95"/>
    </row>
    <row r="37" spans="2:9" ht="15.75" thickBot="1" x14ac:dyDescent="0.3">
      <c r="D37" s="111">
        <f>SUM(D4:D35)</f>
        <v>7750</v>
      </c>
      <c r="E37" s="112">
        <f>SUM(E4:E35)</f>
        <v>6912.78</v>
      </c>
      <c r="F37" s="112">
        <f>SUM(F4:F35)</f>
        <v>837.22000000000025</v>
      </c>
      <c r="G37" s="113">
        <f>SUM(G4:G35)</f>
        <v>863.98</v>
      </c>
      <c r="H37" s="113">
        <f t="shared" ref="H37:I37" si="2">SUM(H4:H35)</f>
        <v>1686.0199999999995</v>
      </c>
      <c r="I37" s="113">
        <f t="shared" si="2"/>
        <v>0</v>
      </c>
    </row>
    <row r="39" spans="2:9" x14ac:dyDescent="0.25">
      <c r="E39" s="129"/>
    </row>
    <row r="40" spans="2:9" x14ac:dyDescent="0.25">
      <c r="E40" s="129"/>
    </row>
  </sheetData>
  <phoneticPr fontId="6" type="noConversion"/>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F3BB5-DA54-497B-B1B2-4ECF7E454292}">
  <dimension ref="A1:F80"/>
  <sheetViews>
    <sheetView workbookViewId="0">
      <selection activeCell="C63" sqref="C63"/>
    </sheetView>
  </sheetViews>
  <sheetFormatPr defaultColWidth="12.85546875" defaultRowHeight="15" outlineLevelRow="2" x14ac:dyDescent="0.25"/>
  <cols>
    <col min="1" max="1" width="61.5703125" style="11" customWidth="1"/>
    <col min="2" max="2" width="18.42578125" style="11" customWidth="1"/>
    <col min="3" max="3" width="12.85546875" style="129"/>
    <col min="4" max="4" width="17.5703125" bestFit="1" customWidth="1"/>
  </cols>
  <sheetData>
    <row r="1" spans="1:5" ht="15" customHeight="1" x14ac:dyDescent="0.25">
      <c r="A1" s="153" t="s">
        <v>153</v>
      </c>
      <c r="B1" s="154"/>
    </row>
    <row r="2" spans="1:5" ht="15" customHeight="1" x14ac:dyDescent="0.25">
      <c r="A2" s="155" t="s">
        <v>146</v>
      </c>
      <c r="B2" s="154"/>
    </row>
    <row r="3" spans="1:5" x14ac:dyDescent="0.25">
      <c r="A3" s="156" t="s">
        <v>205</v>
      </c>
      <c r="B3" s="154"/>
    </row>
    <row r="5" spans="1:5" x14ac:dyDescent="0.25">
      <c r="A5" s="130" t="s">
        <v>154</v>
      </c>
      <c r="B5" s="130" t="s">
        <v>147</v>
      </c>
    </row>
    <row r="6" spans="1:5" x14ac:dyDescent="0.25">
      <c r="A6" s="131" t="s">
        <v>15</v>
      </c>
    </row>
    <row r="7" spans="1:5" outlineLevel="1" x14ac:dyDescent="0.25">
      <c r="A7" s="132" t="s">
        <v>155</v>
      </c>
      <c r="B7" s="133">
        <v>2437.86</v>
      </c>
      <c r="C7" s="129">
        <f>'24 25 Spending'!N3</f>
        <v>2171.67</v>
      </c>
      <c r="D7" s="140">
        <f>C7-B7</f>
        <v>-266.19000000000005</v>
      </c>
      <c r="E7" t="s">
        <v>215</v>
      </c>
    </row>
    <row r="8" spans="1:5" outlineLevel="1" x14ac:dyDescent="0.25">
      <c r="A8" s="132" t="s">
        <v>206</v>
      </c>
      <c r="B8" s="133">
        <v>1712.74</v>
      </c>
      <c r="C8" s="129" t="s">
        <v>214</v>
      </c>
      <c r="D8" s="140"/>
    </row>
    <row r="9" spans="1:5" outlineLevel="1" x14ac:dyDescent="0.25">
      <c r="A9" s="132" t="s">
        <v>156</v>
      </c>
      <c r="B9" s="133">
        <v>820.81</v>
      </c>
      <c r="C9" s="129">
        <f>'24 25 Spending'!N4</f>
        <v>2533.5500000000002</v>
      </c>
      <c r="D9" s="140">
        <f>B9+B8-C9</f>
        <v>0</v>
      </c>
    </row>
    <row r="10" spans="1:5" outlineLevel="1" x14ac:dyDescent="0.25">
      <c r="A10" s="132" t="s">
        <v>157</v>
      </c>
      <c r="B10" s="133">
        <v>2738.16</v>
      </c>
      <c r="C10" s="129">
        <f>'24 25 Spending'!N5</f>
        <v>2538.16</v>
      </c>
      <c r="D10" s="140">
        <f>C10-B10</f>
        <v>-200</v>
      </c>
      <c r="E10" t="s">
        <v>198</v>
      </c>
    </row>
    <row r="11" spans="1:5" outlineLevel="1" x14ac:dyDescent="0.25">
      <c r="A11" s="132" t="s">
        <v>158</v>
      </c>
      <c r="B11" s="133">
        <v>133</v>
      </c>
      <c r="C11" s="129">
        <f>'24 25 Spending'!N6</f>
        <v>133</v>
      </c>
      <c r="D11" s="140">
        <f>C11-B11</f>
        <v>0</v>
      </c>
    </row>
    <row r="12" spans="1:5" outlineLevel="1" x14ac:dyDescent="0.25">
      <c r="A12" s="132" t="s">
        <v>159</v>
      </c>
      <c r="B12" s="133">
        <v>32755.07</v>
      </c>
      <c r="C12" s="129">
        <f>'24 25 Spending'!N7</f>
        <v>32755.070000000003</v>
      </c>
      <c r="D12" s="140">
        <f>C12-B12</f>
        <v>0</v>
      </c>
    </row>
    <row r="13" spans="1:5" outlineLevel="1" x14ac:dyDescent="0.25">
      <c r="A13" s="132" t="s">
        <v>160</v>
      </c>
      <c r="B13" s="133">
        <v>418.51</v>
      </c>
      <c r="C13" s="129">
        <f>'24 25 Spending'!N8</f>
        <v>1064.9099999999999</v>
      </c>
      <c r="D13" s="140">
        <f>C13-B13-B15</f>
        <v>396.39999999999986</v>
      </c>
    </row>
    <row r="14" spans="1:5" outlineLevel="1" x14ac:dyDescent="0.25">
      <c r="A14" s="132" t="s">
        <v>161</v>
      </c>
      <c r="B14" s="133">
        <v>1112.53</v>
      </c>
      <c r="C14" s="129">
        <f>'24 25 Spending'!N9</f>
        <v>1112.53</v>
      </c>
      <c r="D14" s="140">
        <f>C14-B14</f>
        <v>0</v>
      </c>
    </row>
    <row r="15" spans="1:5" outlineLevel="1" x14ac:dyDescent="0.25">
      <c r="A15" s="132" t="s">
        <v>162</v>
      </c>
      <c r="B15" s="133">
        <v>250</v>
      </c>
      <c r="D15" s="140"/>
    </row>
    <row r="16" spans="1:5" outlineLevel="1" x14ac:dyDescent="0.25">
      <c r="A16" s="132" t="s">
        <v>163</v>
      </c>
      <c r="B16" s="133">
        <v>4337.05</v>
      </c>
      <c r="C16" s="129">
        <f>'24 25 Spending'!N10</f>
        <v>4105.57</v>
      </c>
      <c r="D16" s="140">
        <f>C16-B16</f>
        <v>-231.48000000000047</v>
      </c>
      <c r="E16" t="s">
        <v>199</v>
      </c>
    </row>
    <row r="17" spans="1:5" outlineLevel="2" x14ac:dyDescent="0.25">
      <c r="A17" s="132" t="s">
        <v>164</v>
      </c>
      <c r="B17" s="133">
        <v>0</v>
      </c>
      <c r="D17" s="140"/>
    </row>
    <row r="18" spans="1:5" outlineLevel="1" x14ac:dyDescent="0.25">
      <c r="A18" s="134" t="s">
        <v>165</v>
      </c>
      <c r="B18" s="133">
        <v>460.28</v>
      </c>
      <c r="C18" s="129">
        <f>'24 25 Spending'!N11</f>
        <v>460.28</v>
      </c>
      <c r="D18" s="140">
        <f>C18-B18</f>
        <v>0</v>
      </c>
    </row>
    <row r="19" spans="1:5" outlineLevel="1" x14ac:dyDescent="0.25">
      <c r="A19" s="135" t="s">
        <v>166</v>
      </c>
      <c r="B19" s="136">
        <f>B17+B18</f>
        <v>460.28</v>
      </c>
      <c r="C19" s="129">
        <f>'24 25 Spending'!N12</f>
        <v>10647.35</v>
      </c>
      <c r="D19" s="140">
        <f>C19-B19</f>
        <v>10187.07</v>
      </c>
    </row>
    <row r="20" spans="1:5" outlineLevel="1" x14ac:dyDescent="0.25">
      <c r="A20" s="132" t="s">
        <v>167</v>
      </c>
      <c r="B20" s="133">
        <v>10647.35</v>
      </c>
      <c r="C20" s="129">
        <f>'24 25 Spending'!N12</f>
        <v>10647.35</v>
      </c>
      <c r="D20" s="140">
        <f>C20-B20</f>
        <v>0</v>
      </c>
    </row>
    <row r="21" spans="1:5" x14ac:dyDescent="0.25">
      <c r="A21" s="132" t="s">
        <v>168</v>
      </c>
      <c r="B21" s="133">
        <v>523.75</v>
      </c>
      <c r="C21" s="129">
        <f>'24 25 Spending'!N13</f>
        <v>869.69</v>
      </c>
      <c r="D21" s="129">
        <f>C21-B21</f>
        <v>345.94000000000005</v>
      </c>
      <c r="E21" t="s">
        <v>215</v>
      </c>
    </row>
    <row r="22" spans="1:5" x14ac:dyDescent="0.25">
      <c r="A22" s="137" t="s">
        <v>169</v>
      </c>
      <c r="B22" s="136">
        <f>B7+B8+B9+B10+B11+B12+B13+B14+B15+B16+B19+B20+B21</f>
        <v>58347.11</v>
      </c>
    </row>
    <row r="23" spans="1:5" x14ac:dyDescent="0.25">
      <c r="A23" s="131" t="s">
        <v>170</v>
      </c>
      <c r="B23" s="138"/>
    </row>
    <row r="24" spans="1:5" x14ac:dyDescent="0.25">
      <c r="A24" s="137" t="s">
        <v>148</v>
      </c>
      <c r="B24" s="136">
        <f>B22-B23</f>
        <v>58347.11</v>
      </c>
      <c r="D24" s="140"/>
    </row>
    <row r="25" spans="1:5" outlineLevel="1" x14ac:dyDescent="0.25">
      <c r="A25" s="131" t="s">
        <v>28</v>
      </c>
    </row>
    <row r="26" spans="1:5" outlineLevel="1" x14ac:dyDescent="0.25">
      <c r="A26" s="132" t="s">
        <v>171</v>
      </c>
      <c r="B26" s="133">
        <v>1269.0999999999999</v>
      </c>
      <c r="C26" s="129">
        <f>'24 25 Spending'!N17-'24 25 Spending'!M17</f>
        <v>1269.0999999999999</v>
      </c>
    </row>
    <row r="27" spans="1:5" outlineLevel="1" x14ac:dyDescent="0.25">
      <c r="A27" s="132" t="s">
        <v>33</v>
      </c>
      <c r="B27" s="133">
        <v>600</v>
      </c>
      <c r="C27" s="129">
        <f>'24 25 Spending'!N18</f>
        <v>600</v>
      </c>
    </row>
    <row r="28" spans="1:5" outlineLevel="1" x14ac:dyDescent="0.25">
      <c r="A28" s="132" t="s">
        <v>34</v>
      </c>
      <c r="B28" s="133">
        <v>2051</v>
      </c>
    </row>
    <row r="29" spans="1:5" outlineLevel="1" x14ac:dyDescent="0.25">
      <c r="A29" s="132" t="s">
        <v>172</v>
      </c>
      <c r="B29" s="133">
        <v>734.46</v>
      </c>
    </row>
    <row r="30" spans="1:5" outlineLevel="1" x14ac:dyDescent="0.25">
      <c r="A30" s="132" t="s">
        <v>173</v>
      </c>
      <c r="B30" s="133">
        <v>68</v>
      </c>
    </row>
    <row r="31" spans="1:5" outlineLevel="1" x14ac:dyDescent="0.25">
      <c r="A31" s="132" t="s">
        <v>174</v>
      </c>
      <c r="B31" s="133">
        <v>1990.14</v>
      </c>
    </row>
    <row r="32" spans="1:5" outlineLevel="1" x14ac:dyDescent="0.25">
      <c r="A32" s="132" t="s">
        <v>38</v>
      </c>
      <c r="B32" s="133">
        <v>458.68</v>
      </c>
    </row>
    <row r="33" spans="1:4" outlineLevel="1" x14ac:dyDescent="0.25">
      <c r="A33" s="132" t="s">
        <v>39</v>
      </c>
      <c r="B33" s="133">
        <v>478</v>
      </c>
    </row>
    <row r="34" spans="1:4" outlineLevel="1" x14ac:dyDescent="0.25">
      <c r="A34" s="132" t="s">
        <v>40</v>
      </c>
      <c r="B34" s="133">
        <v>671.3</v>
      </c>
    </row>
    <row r="35" spans="1:4" outlineLevel="1" x14ac:dyDescent="0.25">
      <c r="A35" s="132" t="s">
        <v>41</v>
      </c>
      <c r="B35" s="133">
        <v>250</v>
      </c>
    </row>
    <row r="36" spans="1:4" outlineLevel="1" x14ac:dyDescent="0.25">
      <c r="A36" s="132" t="s">
        <v>175</v>
      </c>
      <c r="B36" s="133">
        <v>33</v>
      </c>
    </row>
    <row r="37" spans="1:4" outlineLevel="1" x14ac:dyDescent="0.25">
      <c r="A37" s="132" t="s">
        <v>45</v>
      </c>
      <c r="B37" s="133">
        <v>413.34</v>
      </c>
    </row>
    <row r="38" spans="1:4" outlineLevel="2" x14ac:dyDescent="0.25">
      <c r="A38" s="132" t="s">
        <v>176</v>
      </c>
      <c r="B38" s="133">
        <v>609.66</v>
      </c>
    </row>
    <row r="39" spans="1:4" outlineLevel="2" x14ac:dyDescent="0.25">
      <c r="A39" s="132" t="s">
        <v>207</v>
      </c>
      <c r="B39" s="133">
        <v>159.11000000000001</v>
      </c>
    </row>
    <row r="40" spans="1:4" outlineLevel="2" x14ac:dyDescent="0.25">
      <c r="A40" s="132" t="s">
        <v>177</v>
      </c>
      <c r="B40" s="133">
        <v>0</v>
      </c>
    </row>
    <row r="41" spans="1:4" outlineLevel="2" x14ac:dyDescent="0.25">
      <c r="A41" s="134" t="s">
        <v>178</v>
      </c>
      <c r="B41" s="133">
        <v>1027.58</v>
      </c>
    </row>
    <row r="42" spans="1:4" outlineLevel="2" x14ac:dyDescent="0.25">
      <c r="A42" s="134" t="s">
        <v>179</v>
      </c>
      <c r="B42" s="133">
        <v>1468.88</v>
      </c>
    </row>
    <row r="43" spans="1:4" outlineLevel="1" x14ac:dyDescent="0.25">
      <c r="A43" s="134" t="s">
        <v>180</v>
      </c>
      <c r="B43" s="133">
        <v>1477.44</v>
      </c>
    </row>
    <row r="44" spans="1:4" outlineLevel="1" x14ac:dyDescent="0.25">
      <c r="A44" s="134" t="s">
        <v>181</v>
      </c>
      <c r="B44" s="133">
        <v>1655.93</v>
      </c>
    </row>
    <row r="45" spans="1:4" outlineLevel="1" x14ac:dyDescent="0.25">
      <c r="A45" s="134" t="s">
        <v>182</v>
      </c>
      <c r="B45" s="133">
        <v>1832.33</v>
      </c>
    </row>
    <row r="46" spans="1:4" outlineLevel="1" x14ac:dyDescent="0.25">
      <c r="A46" s="134" t="s">
        <v>208</v>
      </c>
      <c r="B46" s="133">
        <v>264</v>
      </c>
    </row>
    <row r="47" spans="1:4" outlineLevel="1" x14ac:dyDescent="0.25">
      <c r="A47" s="135" t="s">
        <v>183</v>
      </c>
      <c r="B47" s="136">
        <f>B40+B41+B42+B43+B44+B45+B46</f>
        <v>7726.16</v>
      </c>
    </row>
    <row r="48" spans="1:4" outlineLevel="1" x14ac:dyDescent="0.25">
      <c r="A48" s="132" t="s">
        <v>184</v>
      </c>
      <c r="B48" s="133">
        <v>4863.71</v>
      </c>
      <c r="C48" s="129">
        <f>'24 25 Spending'!N41+'24 25 Spending'!N40</f>
        <v>4863.71</v>
      </c>
      <c r="D48" s="140">
        <f>C48-B48</f>
        <v>0</v>
      </c>
    </row>
    <row r="49" spans="1:6" outlineLevel="1" x14ac:dyDescent="0.25">
      <c r="A49" s="132" t="s">
        <v>59</v>
      </c>
      <c r="B49" s="133">
        <v>335</v>
      </c>
    </row>
    <row r="50" spans="1:6" outlineLevel="1" x14ac:dyDescent="0.25">
      <c r="A50" s="132" t="s">
        <v>185</v>
      </c>
      <c r="B50" s="133">
        <v>406.77</v>
      </c>
    </row>
    <row r="51" spans="1:6" outlineLevel="1" x14ac:dyDescent="0.25">
      <c r="A51" s="132" t="s">
        <v>186</v>
      </c>
      <c r="B51" s="133">
        <v>29.4</v>
      </c>
    </row>
    <row r="52" spans="1:6" outlineLevel="1" x14ac:dyDescent="0.25">
      <c r="A52" s="132" t="s">
        <v>187</v>
      </c>
      <c r="B52" s="133">
        <v>3500</v>
      </c>
    </row>
    <row r="53" spans="1:6" outlineLevel="1" x14ac:dyDescent="0.25">
      <c r="A53" s="132" t="s">
        <v>188</v>
      </c>
      <c r="B53" s="133">
        <v>270</v>
      </c>
    </row>
    <row r="54" spans="1:6" outlineLevel="1" x14ac:dyDescent="0.25">
      <c r="A54" s="132" t="s">
        <v>61</v>
      </c>
      <c r="B54" s="133">
        <v>112.95</v>
      </c>
    </row>
    <row r="55" spans="1:6" outlineLevel="1" x14ac:dyDescent="0.25">
      <c r="A55" s="132" t="s">
        <v>62</v>
      </c>
      <c r="B55" s="133">
        <v>15.62</v>
      </c>
    </row>
    <row r="56" spans="1:6" outlineLevel="1" x14ac:dyDescent="0.25">
      <c r="A56" s="132" t="s">
        <v>189</v>
      </c>
      <c r="B56" s="133">
        <v>453.76</v>
      </c>
    </row>
    <row r="57" spans="1:6" outlineLevel="1" x14ac:dyDescent="0.25">
      <c r="A57" s="132" t="s">
        <v>190</v>
      </c>
      <c r="B57" s="133">
        <v>453.75</v>
      </c>
    </row>
    <row r="58" spans="1:6" outlineLevel="1" x14ac:dyDescent="0.25">
      <c r="A58" s="132" t="s">
        <v>191</v>
      </c>
      <c r="B58" s="133">
        <v>4395.22</v>
      </c>
    </row>
    <row r="59" spans="1:6" outlineLevel="1" x14ac:dyDescent="0.25">
      <c r="A59" s="132" t="s">
        <v>209</v>
      </c>
      <c r="B59" s="133">
        <v>252.7</v>
      </c>
    </row>
    <row r="60" spans="1:6" x14ac:dyDescent="0.25">
      <c r="A60" s="132" t="s">
        <v>192</v>
      </c>
      <c r="B60" s="133">
        <v>1871.38</v>
      </c>
      <c r="D60" s="141"/>
    </row>
    <row r="61" spans="1:6" x14ac:dyDescent="0.25">
      <c r="A61" s="134" t="s">
        <v>210</v>
      </c>
      <c r="B61" s="133">
        <v>2298.89</v>
      </c>
      <c r="C61" s="129">
        <f>B61+B60</f>
        <v>4170.2700000000004</v>
      </c>
      <c r="D61">
        <f>'24 25 Spending'!N55</f>
        <v>3861.06</v>
      </c>
      <c r="E61" s="140">
        <f>C61-D61</f>
        <v>309.21000000000049</v>
      </c>
      <c r="F61" t="s">
        <v>200</v>
      </c>
    </row>
    <row r="62" spans="1:6" x14ac:dyDescent="0.25">
      <c r="A62" s="135" t="s">
        <v>211</v>
      </c>
      <c r="B62" s="136">
        <f>B60+B61</f>
        <v>4170.2700000000004</v>
      </c>
    </row>
    <row r="63" spans="1:6" outlineLevel="1" x14ac:dyDescent="0.25">
      <c r="A63" s="132" t="s">
        <v>70</v>
      </c>
      <c r="B63" s="133">
        <v>780.75</v>
      </c>
    </row>
    <row r="64" spans="1:6" outlineLevel="1" x14ac:dyDescent="0.25">
      <c r="A64" s="132" t="s">
        <v>71</v>
      </c>
      <c r="B64" s="133">
        <v>140</v>
      </c>
    </row>
    <row r="65" spans="1:5" x14ac:dyDescent="0.25">
      <c r="A65" s="132" t="s">
        <v>72</v>
      </c>
      <c r="B65" s="133">
        <v>5415.54</v>
      </c>
      <c r="D65" s="139"/>
    </row>
    <row r="66" spans="1:5" x14ac:dyDescent="0.25">
      <c r="A66" s="132" t="s">
        <v>212</v>
      </c>
      <c r="B66" s="133">
        <v>150</v>
      </c>
    </row>
    <row r="67" spans="1:5" x14ac:dyDescent="0.25">
      <c r="A67" s="132" t="s">
        <v>73</v>
      </c>
      <c r="B67" s="133">
        <v>680.63</v>
      </c>
    </row>
    <row r="68" spans="1:5" x14ac:dyDescent="0.25">
      <c r="A68" s="137" t="s">
        <v>193</v>
      </c>
      <c r="B68" s="136">
        <f>B26+B27+B28+B29+B30+B31+B32+B33+B34+B35+B36+B37+B38+B39+B47+B48+B49+B50+B51+B52+B53+B54+B55+B56+B57+B58+B59+B62+B63+B64+B65+B66+B67</f>
        <v>43938.020000000004</v>
      </c>
      <c r="C68" s="129">
        <f>'24 25 Spending'!N62-'24 25 Spending'!M62</f>
        <v>43490.029999999992</v>
      </c>
      <c r="D68" s="140">
        <f>B68-C68</f>
        <v>447.99000000001251</v>
      </c>
      <c r="E68" t="s">
        <v>200</v>
      </c>
    </row>
    <row r="69" spans="1:5" x14ac:dyDescent="0.25">
      <c r="A69" s="137" t="s">
        <v>76</v>
      </c>
      <c r="B69" s="136">
        <f>B24-B68</f>
        <v>14409.089999999997</v>
      </c>
    </row>
    <row r="70" spans="1:5" x14ac:dyDescent="0.25">
      <c r="A70" s="131" t="s">
        <v>77</v>
      </c>
    </row>
    <row r="71" spans="1:5" x14ac:dyDescent="0.25">
      <c r="A71" s="132" t="s">
        <v>194</v>
      </c>
      <c r="B71" s="133">
        <v>25.91</v>
      </c>
    </row>
    <row r="72" spans="1:5" x14ac:dyDescent="0.25">
      <c r="A72" s="132" t="s">
        <v>195</v>
      </c>
      <c r="B72" s="133">
        <v>203.87</v>
      </c>
    </row>
    <row r="73" spans="1:5" x14ac:dyDescent="0.25">
      <c r="A73" s="137" t="s">
        <v>196</v>
      </c>
      <c r="B73" s="136">
        <f>B71+B72</f>
        <v>229.78</v>
      </c>
      <c r="C73" s="129">
        <f>'24 25 Spending'!N67</f>
        <v>254.56</v>
      </c>
      <c r="D73" s="140">
        <f>C73-B73</f>
        <v>24.78</v>
      </c>
    </row>
    <row r="74" spans="1:5" x14ac:dyDescent="0.25">
      <c r="A74" s="131" t="s">
        <v>197</v>
      </c>
      <c r="B74" s="138"/>
    </row>
    <row r="75" spans="1:5" x14ac:dyDescent="0.25">
      <c r="A75" s="137" t="s">
        <v>149</v>
      </c>
      <c r="B75" s="136">
        <f>B73-B74</f>
        <v>229.78</v>
      </c>
    </row>
    <row r="76" spans="1:5" x14ac:dyDescent="0.25">
      <c r="A76" s="137" t="s">
        <v>81</v>
      </c>
      <c r="B76" s="136">
        <f>B69+B75</f>
        <v>14638.869999999997</v>
      </c>
    </row>
    <row r="80" spans="1:5" x14ac:dyDescent="0.25">
      <c r="A80" s="157" t="s">
        <v>213</v>
      </c>
      <c r="B80" s="154"/>
    </row>
  </sheetData>
  <mergeCells count="4">
    <mergeCell ref="A1:B1"/>
    <mergeCell ref="A2:B2"/>
    <mergeCell ref="A3:B3"/>
    <mergeCell ref="A80:B8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24 25 Spending</vt:lpstr>
      <vt:lpstr>Teacher Spending</vt:lpstr>
      <vt:lpstr>Profit and Loss</vt:lpstr>
      <vt:lpstr>'24 25 Spending'!Print_Area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blair hamilton</dc:creator>
  <cp:keywords/>
  <dc:description/>
  <cp:lastModifiedBy>Emily Davis</cp:lastModifiedBy>
  <cp:revision/>
  <cp:lastPrinted>2025-06-05T21:18:16Z</cp:lastPrinted>
  <dcterms:created xsi:type="dcterms:W3CDTF">2024-06-06T18:57:24Z</dcterms:created>
  <dcterms:modified xsi:type="dcterms:W3CDTF">2025-06-20T20:30:57Z</dcterms:modified>
  <cp:category/>
  <cp:contentStatus/>
</cp:coreProperties>
</file>