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emilyd\Dropbox\PTO\Budgets\2025-2026 Budget\M12 June 2026\"/>
    </mc:Choice>
  </mc:AlternateContent>
  <xr:revisionPtr revIDLastSave="0" documentId="13_ncr:1_{8FBF7099-A9FF-4537-A775-D2B48A04548B}" xr6:coauthVersionLast="47" xr6:coauthVersionMax="47" xr10:uidLastSave="{00000000-0000-0000-0000-000000000000}"/>
  <bookViews>
    <workbookView xWindow="-120" yWindow="-120" windowWidth="29040" windowHeight="17520" xr2:uid="{F2CC5D1E-56CE-4C3A-8D74-32267FB862F4}"/>
  </bookViews>
  <sheets>
    <sheet name="25 26 Spending" sheetId="1" r:id="rId1"/>
    <sheet name="Teacher Spending" sheetId="2" r:id="rId2"/>
    <sheet name="P&amp;L 06.30.26" sheetId="3" r:id="rId3"/>
  </sheets>
  <definedNames>
    <definedName name="_xlnm.Print_Area" localSheetId="0">'25 26 Spending'!$A$1:$Q$91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3" i="3" l="1"/>
  <c r="B74" i="3" s="1"/>
  <c r="B63" i="3"/>
  <c r="B47" i="3"/>
  <c r="B68" i="3" s="1"/>
  <c r="B17" i="3"/>
  <c r="B20" i="3" s="1"/>
  <c r="B21" i="3" s="1"/>
  <c r="B69" i="3" s="1"/>
  <c r="B75" i="3" s="1"/>
  <c r="M76" i="1"/>
  <c r="M75" i="1"/>
  <c r="M58" i="1"/>
  <c r="M19" i="1"/>
  <c r="E35" i="2"/>
  <c r="M64" i="1"/>
  <c r="D30" i="3"/>
  <c r="D34" i="3"/>
  <c r="D46" i="3"/>
  <c r="C46" i="3"/>
  <c r="C34" i="3"/>
  <c r="C30" i="3"/>
  <c r="M53" i="1"/>
  <c r="M54" i="1"/>
  <c r="M61" i="1"/>
  <c r="M12" i="1"/>
  <c r="M62" i="1"/>
  <c r="E22" i="2"/>
  <c r="E28" i="2"/>
  <c r="E20" i="2"/>
  <c r="M29" i="1"/>
  <c r="G16" i="2"/>
  <c r="G15" i="2"/>
  <c r="M20" i="1"/>
  <c r="M65" i="1"/>
  <c r="M66" i="1"/>
  <c r="M41" i="1"/>
  <c r="G9" i="2"/>
  <c r="G8" i="2"/>
  <c r="E23" i="2"/>
  <c r="E17" i="2"/>
  <c r="M38" i="1"/>
  <c r="E30" i="2"/>
  <c r="M37" i="1"/>
  <c r="C35" i="3"/>
  <c r="D35" i="3" s="1"/>
  <c r="L76" i="1"/>
  <c r="L75" i="1"/>
  <c r="P20" i="1"/>
  <c r="L20" i="1"/>
  <c r="L29" i="1"/>
  <c r="L64" i="1"/>
  <c r="E4" i="2"/>
  <c r="E16" i="2"/>
  <c r="L12" i="1"/>
  <c r="P58" i="1"/>
  <c r="N31" i="1"/>
  <c r="E24" i="2"/>
  <c r="L53" i="1"/>
  <c r="L37" i="1"/>
  <c r="L62" i="1"/>
  <c r="C41" i="3"/>
  <c r="D41" i="3" s="1"/>
  <c r="C17" i="3"/>
  <c r="L5" i="1"/>
  <c r="L19" i="1"/>
  <c r="O24" i="1"/>
  <c r="L24" i="1"/>
  <c r="G18" i="2"/>
  <c r="L40" i="1"/>
  <c r="N69" i="1"/>
  <c r="Q69" i="1" s="1"/>
  <c r="L61" i="1"/>
  <c r="E33" i="2"/>
  <c r="K76" i="1"/>
  <c r="K75" i="1"/>
  <c r="K6" i="1"/>
  <c r="K48" i="1"/>
  <c r="O64" i="1"/>
  <c r="D37" i="2"/>
  <c r="F34" i="2"/>
  <c r="K53" i="1"/>
  <c r="K61" i="1"/>
  <c r="K64" i="1"/>
  <c r="E26" i="2"/>
  <c r="K12" i="1"/>
  <c r="D10" i="2"/>
  <c r="K5" i="1"/>
  <c r="K29" i="1"/>
  <c r="J76" i="1"/>
  <c r="J75" i="1"/>
  <c r="D17" i="3" l="1"/>
  <c r="J64" i="1"/>
  <c r="J29" i="1"/>
  <c r="J5" i="1"/>
  <c r="E15" i="2"/>
  <c r="J33" i="1"/>
  <c r="G14" i="2"/>
  <c r="G19" i="2"/>
  <c r="J15" i="1"/>
  <c r="N57" i="1"/>
  <c r="C57" i="3" s="1"/>
  <c r="D57" i="3" s="1"/>
  <c r="E6" i="2"/>
  <c r="N67" i="1"/>
  <c r="Q67" i="1" s="1"/>
  <c r="N66" i="1"/>
  <c r="Q66" i="1" s="1"/>
  <c r="G11" i="2"/>
  <c r="G5" i="2"/>
  <c r="G17" i="2"/>
  <c r="I76" i="1"/>
  <c r="I75" i="1"/>
  <c r="I33" i="1"/>
  <c r="I64" i="1"/>
  <c r="I28" i="1"/>
  <c r="O59" i="1"/>
  <c r="I29" i="1"/>
  <c r="E27" i="2"/>
  <c r="I48" i="1"/>
  <c r="I61" i="1"/>
  <c r="H10" i="1"/>
  <c r="H76" i="1"/>
  <c r="H75" i="1"/>
  <c r="H12" i="1"/>
  <c r="H62" i="1"/>
  <c r="Q31" i="1"/>
  <c r="H53" i="1"/>
  <c r="H46" i="1"/>
  <c r="H61" i="1"/>
  <c r="H64" i="1"/>
  <c r="E31" i="2"/>
  <c r="N68" i="1"/>
  <c r="Q68" i="1" s="1"/>
  <c r="H65" i="1"/>
  <c r="H15" i="1"/>
  <c r="G75" i="1" l="1"/>
  <c r="G76" i="1"/>
  <c r="G10" i="1"/>
  <c r="G9" i="1"/>
  <c r="G29" i="1"/>
  <c r="G15" i="1"/>
  <c r="G64" i="1"/>
  <c r="G11" i="1"/>
  <c r="G61" i="1"/>
  <c r="G46" i="1"/>
  <c r="G53" i="1"/>
  <c r="G62" i="1"/>
  <c r="G5" i="1"/>
  <c r="G12" i="1"/>
  <c r="F76" i="1"/>
  <c r="F75" i="1"/>
  <c r="O29" i="1"/>
  <c r="H10" i="2"/>
  <c r="F9" i="1"/>
  <c r="F64" i="1" l="1"/>
  <c r="F62" i="1"/>
  <c r="N54" i="1"/>
  <c r="F10" i="1"/>
  <c r="F29" i="1"/>
  <c r="F58" i="1"/>
  <c r="F61" i="1"/>
  <c r="F46" i="1"/>
  <c r="F32" i="1"/>
  <c r="F28" i="1"/>
  <c r="Q54" i="1" l="1"/>
  <c r="C60" i="3"/>
  <c r="D60" i="3" s="1"/>
  <c r="E75" i="1"/>
  <c r="F6" i="1"/>
  <c r="F65" i="1"/>
  <c r="N23" i="1"/>
  <c r="C27" i="3" s="1"/>
  <c r="O62" i="1"/>
  <c r="N24" i="1"/>
  <c r="E28" i="1"/>
  <c r="E10" i="1"/>
  <c r="E9" i="1"/>
  <c r="E76" i="1"/>
  <c r="E53" i="1"/>
  <c r="E62" i="1"/>
  <c r="E12" i="1"/>
  <c r="E64" i="1"/>
  <c r="E15" i="1"/>
  <c r="C28" i="3" l="1"/>
  <c r="Q24" i="1"/>
  <c r="P62" i="1"/>
  <c r="O72" i="1"/>
  <c r="Q23" i="1"/>
  <c r="D76" i="1"/>
  <c r="D75" i="1"/>
  <c r="D35" i="1"/>
  <c r="D64" i="1"/>
  <c r="D61" i="1"/>
  <c r="D58" i="1"/>
  <c r="D14" i="1"/>
  <c r="C76" i="1"/>
  <c r="C75" i="1"/>
  <c r="D13" i="1" l="1"/>
  <c r="C58" i="1"/>
  <c r="C64" i="1" l="1"/>
  <c r="H12" i="2"/>
  <c r="F12" i="2"/>
  <c r="B75" i="1"/>
  <c r="B76" i="1"/>
  <c r="B86" i="1"/>
  <c r="N49" i="1" l="1"/>
  <c r="Q49" i="1" s="1"/>
  <c r="N48" i="1" l="1"/>
  <c r="C50" i="3" s="1"/>
  <c r="Q48" i="1" l="1"/>
  <c r="F19" i="2"/>
  <c r="H19" i="2"/>
  <c r="F5" i="2"/>
  <c r="F6" i="2"/>
  <c r="F7" i="2"/>
  <c r="F8" i="2"/>
  <c r="F9" i="2"/>
  <c r="F10" i="2"/>
  <c r="F11" i="2"/>
  <c r="F13" i="2"/>
  <c r="F14" i="2"/>
  <c r="F15" i="2"/>
  <c r="F16" i="2"/>
  <c r="F17" i="2"/>
  <c r="F18" i="2"/>
  <c r="F20" i="2"/>
  <c r="F21" i="2"/>
  <c r="F22" i="2"/>
  <c r="F23" i="2"/>
  <c r="F24" i="2"/>
  <c r="F25" i="2"/>
  <c r="F26" i="2"/>
  <c r="F27" i="2"/>
  <c r="F28" i="2"/>
  <c r="F30" i="2"/>
  <c r="F31" i="2"/>
  <c r="F32" i="2"/>
  <c r="F33" i="2"/>
  <c r="F35" i="2"/>
  <c r="F4" i="2"/>
  <c r="H6" i="2" l="1"/>
  <c r="I37" i="2"/>
  <c r="H18" i="2"/>
  <c r="H17" i="2"/>
  <c r="H16" i="2"/>
  <c r="H15" i="2"/>
  <c r="H14" i="2"/>
  <c r="H13" i="2"/>
  <c r="H11" i="2"/>
  <c r="H9" i="2"/>
  <c r="H8" i="2"/>
  <c r="H7" i="2"/>
  <c r="H5" i="2"/>
  <c r="G37" i="2"/>
  <c r="O77" i="1"/>
  <c r="C72" i="1"/>
  <c r="B72" i="1"/>
  <c r="N65" i="1"/>
  <c r="C67" i="3" s="1"/>
  <c r="N63" i="1"/>
  <c r="C65" i="3" s="1"/>
  <c r="N62" i="1"/>
  <c r="C64" i="3" s="1"/>
  <c r="D64" i="3" s="1"/>
  <c r="N56" i="1"/>
  <c r="C56" i="3" s="1"/>
  <c r="N55" i="1"/>
  <c r="C53" i="3" s="1"/>
  <c r="N53" i="1"/>
  <c r="C55" i="3" s="1"/>
  <c r="D55" i="3" s="1"/>
  <c r="N52" i="1"/>
  <c r="C54" i="3" s="1"/>
  <c r="N51" i="1"/>
  <c r="C51" i="3" s="1"/>
  <c r="N50" i="1"/>
  <c r="C49" i="3" s="1"/>
  <c r="N47" i="1"/>
  <c r="Q47" i="1" s="1"/>
  <c r="N46" i="1"/>
  <c r="N45" i="1"/>
  <c r="N44" i="1"/>
  <c r="Q44" i="1" s="1"/>
  <c r="N43" i="1"/>
  <c r="N42" i="1"/>
  <c r="C44" i="3" s="1"/>
  <c r="D44" i="3" s="1"/>
  <c r="N41" i="1"/>
  <c r="N38" i="1"/>
  <c r="Q38" i="1" s="1"/>
  <c r="N36" i="1"/>
  <c r="Q36" i="1" s="1"/>
  <c r="N34" i="1"/>
  <c r="Q34" i="1" s="1"/>
  <c r="N33" i="1"/>
  <c r="N30" i="1"/>
  <c r="N28" i="1"/>
  <c r="C31" i="3" s="1"/>
  <c r="N27" i="1"/>
  <c r="Q27" i="1" s="1"/>
  <c r="N25" i="1"/>
  <c r="C29" i="3" s="1"/>
  <c r="N22" i="1"/>
  <c r="N21" i="1"/>
  <c r="C25" i="3" s="1"/>
  <c r="J72" i="1"/>
  <c r="O17" i="1"/>
  <c r="M17" i="1"/>
  <c r="D17" i="1"/>
  <c r="C17" i="1"/>
  <c r="B17" i="1"/>
  <c r="N15" i="1"/>
  <c r="N14" i="1"/>
  <c r="C18" i="3" s="1"/>
  <c r="N13" i="1"/>
  <c r="N11" i="1"/>
  <c r="C13" i="3" s="1"/>
  <c r="H17" i="1"/>
  <c r="I17" i="1"/>
  <c r="G17" i="1"/>
  <c r="N8" i="1"/>
  <c r="C10" i="3" s="1"/>
  <c r="N7" i="1"/>
  <c r="C9" i="3" s="1"/>
  <c r="L17" i="1"/>
  <c r="N5" i="1"/>
  <c r="C7" i="3" s="1"/>
  <c r="D7" i="3" s="1"/>
  <c r="Q45" i="1" l="1"/>
  <c r="C48" i="3"/>
  <c r="Q41" i="1"/>
  <c r="C43" i="3"/>
  <c r="Q43" i="1"/>
  <c r="C45" i="3"/>
  <c r="D45" i="3" s="1"/>
  <c r="Q33" i="1"/>
  <c r="C38" i="3"/>
  <c r="D38" i="3" s="1"/>
  <c r="P61" i="1"/>
  <c r="C19" i="3"/>
  <c r="D19" i="3" s="1"/>
  <c r="Q30" i="1"/>
  <c r="C33" i="3"/>
  <c r="D33" i="3" s="1"/>
  <c r="D25" i="3"/>
  <c r="C26" i="3"/>
  <c r="D26" i="3" s="1"/>
  <c r="Q62" i="1"/>
  <c r="Q56" i="1"/>
  <c r="Q57" i="1"/>
  <c r="Q42" i="1"/>
  <c r="Q21" i="1"/>
  <c r="Q50" i="1"/>
  <c r="Q51" i="1"/>
  <c r="Q55" i="1"/>
  <c r="Q25" i="1"/>
  <c r="Q52" i="1"/>
  <c r="Q63" i="1"/>
  <c r="Q22" i="1"/>
  <c r="Q65" i="1"/>
  <c r="H37" i="2"/>
  <c r="Q53" i="1"/>
  <c r="Q46" i="1"/>
  <c r="D29" i="3"/>
  <c r="Q28" i="1"/>
  <c r="P19" i="1"/>
  <c r="F37" i="2"/>
  <c r="H4" i="2"/>
  <c r="E37" i="2"/>
  <c r="N70" i="1"/>
  <c r="Q70" i="1" s="1"/>
  <c r="K72" i="1"/>
  <c r="N76" i="1"/>
  <c r="C72" i="3" s="1"/>
  <c r="D72" i="3" s="1"/>
  <c r="N60" i="1"/>
  <c r="N61" i="1"/>
  <c r="N37" i="1"/>
  <c r="K17" i="1"/>
  <c r="N29" i="1"/>
  <c r="J17" i="1"/>
  <c r="N6" i="1"/>
  <c r="C8" i="3" s="1"/>
  <c r="D8" i="3" s="1"/>
  <c r="N39" i="1"/>
  <c r="Q39" i="1" s="1"/>
  <c r="N32" i="1"/>
  <c r="C52" i="3" s="1"/>
  <c r="N75" i="1"/>
  <c r="C71" i="3" s="1"/>
  <c r="D71" i="3" s="1"/>
  <c r="N58" i="1"/>
  <c r="Q58" i="1" s="1"/>
  <c r="G72" i="1"/>
  <c r="H72" i="1"/>
  <c r="N40" i="1"/>
  <c r="N64" i="1"/>
  <c r="E72" i="1"/>
  <c r="E17" i="1"/>
  <c r="N19" i="1"/>
  <c r="N59" i="1"/>
  <c r="C59" i="3" s="1"/>
  <c r="D59" i="3" s="1"/>
  <c r="L72" i="1"/>
  <c r="N12" i="1"/>
  <c r="N9" i="1"/>
  <c r="C11" i="3" s="1"/>
  <c r="I72" i="1"/>
  <c r="F17" i="1"/>
  <c r="D72" i="1"/>
  <c r="N35" i="1"/>
  <c r="C37" i="3" s="1"/>
  <c r="D37" i="3" s="1"/>
  <c r="N10" i="1"/>
  <c r="C12" i="3" s="1"/>
  <c r="D12" i="3" s="1"/>
  <c r="N26" i="1"/>
  <c r="Q26" i="1" s="1"/>
  <c r="N20" i="1"/>
  <c r="F72" i="1"/>
  <c r="M72" i="1"/>
  <c r="Q40" i="1" l="1"/>
  <c r="C42" i="3"/>
  <c r="D42" i="3" s="1"/>
  <c r="C24" i="3"/>
  <c r="D24" i="3" s="1"/>
  <c r="Q20" i="1"/>
  <c r="C63" i="3"/>
  <c r="D63" i="3" s="1"/>
  <c r="Q61" i="1"/>
  <c r="C23" i="3"/>
  <c r="Q19" i="1"/>
  <c r="Q37" i="1"/>
  <c r="C39" i="3"/>
  <c r="D39" i="3" s="1"/>
  <c r="Q60" i="1"/>
  <c r="C36" i="3"/>
  <c r="D36" i="3" s="1"/>
  <c r="D56" i="3"/>
  <c r="C58" i="3"/>
  <c r="D58" i="3" s="1"/>
  <c r="N72" i="1"/>
  <c r="D65" i="3"/>
  <c r="C66" i="3"/>
  <c r="D66" i="3" s="1"/>
  <c r="D48" i="3"/>
  <c r="D50" i="3"/>
  <c r="D53" i="3"/>
  <c r="D54" i="3"/>
  <c r="D31" i="3"/>
  <c r="C32" i="3"/>
  <c r="D32" i="3" s="1"/>
  <c r="D13" i="3"/>
  <c r="C14" i="3"/>
  <c r="D14" i="3" s="1"/>
  <c r="Q32" i="1"/>
  <c r="D23" i="3"/>
  <c r="D11" i="3"/>
  <c r="D9" i="3"/>
  <c r="D10" i="3"/>
  <c r="Q35" i="1"/>
  <c r="D28" i="3"/>
  <c r="Q59" i="1"/>
  <c r="D43" i="3"/>
  <c r="Q29" i="1"/>
  <c r="D27" i="3"/>
  <c r="Q64" i="1"/>
  <c r="D49" i="3"/>
  <c r="N77" i="1"/>
  <c r="O73" i="1"/>
  <c r="O78" i="1" s="1"/>
  <c r="N17" i="1"/>
  <c r="C20" i="3" s="1"/>
  <c r="D20" i="3" s="1"/>
  <c r="D51" i="3" l="1"/>
  <c r="D18" i="3"/>
  <c r="N73" i="1"/>
  <c r="D67" i="3" l="1"/>
  <c r="N78" i="1"/>
  <c r="C75" i="3" s="1"/>
  <c r="D75" i="3" s="1"/>
  <c r="D5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Davis</author>
    <author>blair hamilton</author>
    <author>Hiersche, Kristina M</author>
  </authors>
  <commentList>
    <comment ref="F5" authorId="0" shapeId="0" xr:uid="{FDE6820F-8678-4AC2-AD34-2881E9F6EB88}">
      <text>
        <r>
          <rPr>
            <b/>
            <sz val="9"/>
            <color indexed="81"/>
            <rFont val="Tahoma"/>
            <family val="2"/>
          </rPr>
          <t>Emily Davis:</t>
        </r>
        <r>
          <rPr>
            <sz val="9"/>
            <color indexed="81"/>
            <rFont val="Tahoma"/>
            <family val="2"/>
          </rPr>
          <t xml:space="preserve">
Dance party</t>
        </r>
      </text>
    </comment>
    <comment ref="J5" authorId="0" shapeId="0" xr:uid="{A24EDA51-DAE8-4DDD-98D2-0360EB9587A4}">
      <text>
        <r>
          <rPr>
            <b/>
            <sz val="9"/>
            <color indexed="81"/>
            <rFont val="Tahoma"/>
            <family val="2"/>
          </rPr>
          <t>Emily Davis:</t>
        </r>
        <r>
          <rPr>
            <sz val="9"/>
            <color indexed="81"/>
            <rFont val="Tahoma"/>
            <family val="2"/>
          </rPr>
          <t xml:space="preserve">
$196 Paypal plant sale
$114.49 Squared plant sale
$118 cash plant sales
$20.38 Squared payment for snacks sales at Multi-Cultural night
$800.10 cash from Multi-cultural night snacks and raffle</t>
        </r>
      </text>
    </comment>
    <comment ref="K5" authorId="0" shapeId="0" xr:uid="{59D53243-D0D8-4067-A9A2-8B3771B09E09}">
      <text>
        <r>
          <rPr>
            <b/>
            <sz val="9"/>
            <color indexed="81"/>
            <rFont val="Tahoma"/>
            <family val="2"/>
          </rPr>
          <t>Emily Davis:</t>
        </r>
        <r>
          <rPr>
            <sz val="9"/>
            <color indexed="81"/>
            <rFont val="Tahoma"/>
            <family val="2"/>
          </rPr>
          <t xml:space="preserve">
$335.50 from snack sales at Bingo Night</t>
        </r>
      </text>
    </comment>
    <comment ref="L5" authorId="0" shapeId="0" xr:uid="{A750416D-9C18-40A9-AE9A-8CD5DE3F274C}">
      <text>
        <r>
          <rPr>
            <b/>
            <sz val="9"/>
            <color indexed="81"/>
            <rFont val="Tahoma"/>
            <charset val="1"/>
          </rPr>
          <t>Emily Davis:</t>
        </r>
        <r>
          <rPr>
            <sz val="9"/>
            <color indexed="81"/>
            <rFont val="Tahoma"/>
            <charset val="1"/>
          </rPr>
          <t xml:space="preserve">
$479 from neon dance</t>
        </r>
      </text>
    </comment>
    <comment ref="O5" authorId="1" shapeId="0" xr:uid="{AF598665-B984-4E24-A7AB-23CCEE39A6D6}">
      <text>
        <r>
          <rPr>
            <sz val="9"/>
            <color indexed="81"/>
            <rFont val="Tahoma"/>
            <family val="2"/>
          </rPr>
          <t xml:space="preserve">Any fundraising amounts get added to the PTO budget </t>
        </r>
      </text>
    </comment>
    <comment ref="D10" authorId="0" shapeId="0" xr:uid="{E4AA5A33-657D-4E8C-A0D8-06C1B95AF2D6}">
      <text>
        <r>
          <rPr>
            <b/>
            <sz val="9"/>
            <color indexed="81"/>
            <rFont val="Tahoma"/>
            <family val="2"/>
          </rPr>
          <t>Emily Davis:</t>
        </r>
        <r>
          <rPr>
            <sz val="9"/>
            <color indexed="81"/>
            <rFont val="Tahoma"/>
            <family val="2"/>
          </rPr>
          <t xml:space="preserve">
United Way</t>
        </r>
      </text>
    </comment>
    <comment ref="E10" authorId="0" shapeId="0" xr:uid="{15A7FB2D-8682-482D-8950-8A2AD23F645A}">
      <text>
        <r>
          <rPr>
            <b/>
            <sz val="9"/>
            <color indexed="81"/>
            <rFont val="Tahoma"/>
            <family val="2"/>
          </rPr>
          <t>Emily Davis:</t>
        </r>
        <r>
          <rPr>
            <sz val="9"/>
            <color indexed="81"/>
            <rFont val="Tahoma"/>
            <family val="2"/>
          </rPr>
          <t xml:space="preserve">
$250 from Southminster Presbyterian Church for Art Lit program and $817.36 from EPI for Spirit wear profit. 
</t>
        </r>
      </text>
    </comment>
    <comment ref="F10" authorId="0" shapeId="0" xr:uid="{8E1560A8-9AB6-42B1-8192-14F8A19FFF0B}">
      <text>
        <r>
          <rPr>
            <b/>
            <sz val="9"/>
            <color indexed="81"/>
            <rFont val="Tahoma"/>
            <family val="2"/>
          </rPr>
          <t>Emily Davis:</t>
        </r>
        <r>
          <rPr>
            <sz val="9"/>
            <color indexed="81"/>
            <rFont val="Tahoma"/>
            <family val="2"/>
          </rPr>
          <t xml:space="preserve">
$1,000 donation to support SunShine fund. 
$125 from Paypal for SunShine Fund</t>
        </r>
      </text>
    </comment>
    <comment ref="G10" authorId="0" shapeId="0" xr:uid="{E22B25E9-05CA-4EF7-A24E-43F0EE7C7680}">
      <text>
        <r>
          <rPr>
            <b/>
            <sz val="9"/>
            <color indexed="81"/>
            <rFont val="Tahoma"/>
            <family val="2"/>
          </rPr>
          <t>Emily Davis:</t>
        </r>
        <r>
          <rPr>
            <sz val="9"/>
            <color indexed="81"/>
            <rFont val="Tahoma"/>
            <family val="2"/>
          </rPr>
          <t xml:space="preserve">
$117.52 for Sunshine fund + $197.52 for Sunshine fund</t>
        </r>
      </text>
    </comment>
    <comment ref="G11" authorId="0" shapeId="0" xr:uid="{BE4BEE34-D8AD-451D-8843-47542AF4B260}">
      <text>
        <r>
          <rPr>
            <b/>
            <sz val="9"/>
            <color indexed="81"/>
            <rFont val="Tahoma"/>
            <family val="2"/>
          </rPr>
          <t>Emily Davis:</t>
        </r>
        <r>
          <rPr>
            <sz val="9"/>
            <color indexed="81"/>
            <rFont val="Tahoma"/>
            <family val="2"/>
          </rPr>
          <t xml:space="preserve">
$41 cash
$114.11 Paypal</t>
        </r>
      </text>
    </comment>
    <comment ref="E12" authorId="0" shapeId="0" xr:uid="{B4410C35-4E7A-4E85-AF03-128B534E1EB1}">
      <text>
        <r>
          <rPr>
            <b/>
            <sz val="9"/>
            <color indexed="81"/>
            <rFont val="Tahoma"/>
            <family val="2"/>
          </rPr>
          <t>Emily Davis:</t>
        </r>
        <r>
          <rPr>
            <sz val="9"/>
            <color indexed="81"/>
            <rFont val="Tahoma"/>
            <family val="2"/>
          </rPr>
          <t xml:space="preserve">
$170.31 Panda Express</t>
        </r>
      </text>
    </comment>
    <comment ref="G12" authorId="0" shapeId="0" xr:uid="{366768AB-4B6B-4EE5-BF00-D33B0B4BF2BA}">
      <text>
        <r>
          <rPr>
            <b/>
            <sz val="9"/>
            <color indexed="81"/>
            <rFont val="Tahoma"/>
            <family val="2"/>
          </rPr>
          <t>Emily Davis:</t>
        </r>
        <r>
          <rPr>
            <sz val="9"/>
            <color indexed="81"/>
            <rFont val="Tahoma"/>
            <family val="2"/>
          </rPr>
          <t xml:space="preserve">
$182.80 Chipotle</t>
        </r>
      </text>
    </comment>
    <comment ref="H12" authorId="0" shapeId="0" xr:uid="{8B03424F-0131-4D6F-A732-08D2E3A17B65}">
      <text>
        <r>
          <rPr>
            <b/>
            <sz val="9"/>
            <color indexed="81"/>
            <rFont val="Tahoma"/>
            <family val="2"/>
          </rPr>
          <t>Emily Davis:</t>
        </r>
        <r>
          <rPr>
            <sz val="9"/>
            <color indexed="81"/>
            <rFont val="Tahoma"/>
            <family val="2"/>
          </rPr>
          <t xml:space="preserve">
$200.70 Ate oh Ate
$485.42 Pastini</t>
        </r>
      </text>
    </comment>
    <comment ref="J12" authorId="0" shapeId="0" xr:uid="{9B15334A-4585-4F45-9275-641AC3FCB051}">
      <text>
        <r>
          <rPr>
            <b/>
            <sz val="9"/>
            <color indexed="81"/>
            <rFont val="Tahoma"/>
            <family val="2"/>
          </rPr>
          <t>Emily Davis:</t>
        </r>
        <r>
          <rPr>
            <sz val="9"/>
            <color indexed="81"/>
            <rFont val="Tahoma"/>
            <family val="2"/>
          </rPr>
          <t xml:space="preserve">
Lazy Days $407</t>
        </r>
      </text>
    </comment>
    <comment ref="K12" authorId="0" shapeId="0" xr:uid="{041389E4-7B17-409E-9A4C-62229C138DAD}">
      <text>
        <r>
          <rPr>
            <b/>
            <sz val="9"/>
            <color indexed="81"/>
            <rFont val="Tahoma"/>
            <family val="2"/>
          </rPr>
          <t>Emily Davis:</t>
        </r>
        <r>
          <rPr>
            <sz val="9"/>
            <color indexed="81"/>
            <rFont val="Tahoma"/>
            <family val="2"/>
          </rPr>
          <t xml:space="preserve">
$59.21 from Piccolo</t>
        </r>
      </text>
    </comment>
    <comment ref="L12" authorId="0" shapeId="0" xr:uid="{9BE33977-C47F-4A89-8032-A00089027A92}">
      <text>
        <r>
          <rPr>
            <b/>
            <sz val="9"/>
            <color indexed="81"/>
            <rFont val="Tahoma"/>
            <charset val="1"/>
          </rPr>
          <t>Emily Davis:</t>
        </r>
        <r>
          <rPr>
            <sz val="9"/>
            <color indexed="81"/>
            <rFont val="Tahoma"/>
            <charset val="1"/>
          </rPr>
          <t xml:space="preserve">
$107.96 Burgerville
$1,590.73</t>
        </r>
      </text>
    </comment>
    <comment ref="M12" authorId="0" shapeId="0" xr:uid="{631DC1BD-4F41-4F44-8487-3C295C6FCCD1}">
      <text>
        <r>
          <rPr>
            <b/>
            <sz val="9"/>
            <color indexed="81"/>
            <rFont val="Tahoma"/>
            <charset val="1"/>
          </rPr>
          <t>Emily Davis:</t>
        </r>
        <r>
          <rPr>
            <sz val="9"/>
            <color indexed="81"/>
            <rFont val="Tahoma"/>
            <charset val="1"/>
          </rPr>
          <t xml:space="preserve">
$234.49 Shake Shack
$240.18 Papa Murphy's</t>
        </r>
      </text>
    </comment>
    <comment ref="D14" authorId="0" shapeId="0" xr:uid="{5BCF7F8A-EE6E-4FD4-8237-481008505F2F}">
      <text>
        <r>
          <rPr>
            <b/>
            <sz val="9"/>
            <color indexed="81"/>
            <rFont val="Tahoma"/>
            <family val="2"/>
          </rPr>
          <t>Emily Davis:</t>
        </r>
        <r>
          <rPr>
            <sz val="9"/>
            <color indexed="81"/>
            <rFont val="Tahoma"/>
            <family val="2"/>
          </rPr>
          <t xml:space="preserve">
$477.81 from Paypal donations (parents, etc.)</t>
        </r>
      </text>
    </comment>
    <comment ref="L19" authorId="0" shapeId="0" xr:uid="{3747D332-8275-47B5-8D10-90AD5CE71DEA}">
      <text>
        <r>
          <rPr>
            <b/>
            <sz val="9"/>
            <color indexed="81"/>
            <rFont val="Tahoma"/>
            <charset val="1"/>
          </rPr>
          <t>Emily Davis:</t>
        </r>
        <r>
          <rPr>
            <sz val="9"/>
            <color indexed="81"/>
            <rFont val="Tahoma"/>
            <charset val="1"/>
          </rPr>
          <t xml:space="preserve">
$704 yearbook
$195.63 snacks sold at Dance</t>
        </r>
      </text>
    </comment>
    <comment ref="M19" authorId="0" shapeId="0" xr:uid="{D11126DC-7B4D-4855-9C27-5668FE1543F8}">
      <text>
        <r>
          <rPr>
            <b/>
            <sz val="9"/>
            <color indexed="81"/>
            <rFont val="Tahoma"/>
            <charset val="1"/>
          </rPr>
          <t>Emily Davis:</t>
        </r>
        <r>
          <rPr>
            <sz val="9"/>
            <color indexed="81"/>
            <rFont val="Tahoma"/>
            <charset val="1"/>
          </rPr>
          <t xml:space="preserve">
$1,062.50 - King Pin fiinal payment</t>
        </r>
      </text>
    </comment>
    <comment ref="P20" authorId="0" shapeId="0" xr:uid="{C4145A69-32D7-46D2-9067-615DBC33808F}">
      <text>
        <r>
          <rPr>
            <b/>
            <sz val="9"/>
            <color indexed="81"/>
            <rFont val="Tahoma"/>
            <charset val="1"/>
          </rPr>
          <t>Emily Davis:</t>
        </r>
        <r>
          <rPr>
            <sz val="9"/>
            <color indexed="81"/>
            <rFont val="Tahoma"/>
            <charset val="1"/>
          </rPr>
          <t xml:space="preserve">
Added $250 from donation from Southminster Presbyterian Church for Art Lit program</t>
        </r>
      </text>
    </comment>
    <comment ref="O23" authorId="0" shapeId="0" xr:uid="{A6127299-83D1-4E9A-A93E-8EE91B3BA99F}">
      <text>
        <r>
          <rPr>
            <b/>
            <sz val="9"/>
            <color indexed="81"/>
            <rFont val="Tahoma"/>
            <family val="2"/>
          </rPr>
          <t>Emily Davis:</t>
        </r>
        <r>
          <rPr>
            <sz val="9"/>
            <color indexed="81"/>
            <rFont val="Tahoma"/>
            <family val="2"/>
          </rPr>
          <t xml:space="preserve">
to support champaign for Feed body feed brain</t>
        </r>
      </text>
    </comment>
    <comment ref="E28" authorId="0" shapeId="0" xr:uid="{F177731E-06E2-48F6-B363-FDF88DAA90DB}">
      <text>
        <r>
          <rPr>
            <b/>
            <sz val="9"/>
            <color indexed="81"/>
            <rFont val="Tahoma"/>
            <family val="2"/>
          </rPr>
          <t>Emily Davis:</t>
        </r>
        <r>
          <rPr>
            <sz val="9"/>
            <color indexed="81"/>
            <rFont val="Tahoma"/>
            <family val="2"/>
          </rPr>
          <t xml:space="preserve">
Credits are parents paying for t-shirts.  Pass through cost offset</t>
        </r>
      </text>
    </comment>
    <comment ref="O29" authorId="1" shapeId="0" xr:uid="{8358D6FE-DC16-446D-B0A8-12565169BA1B}">
      <text>
        <r>
          <rPr>
            <b/>
            <sz val="9"/>
            <color indexed="81"/>
            <rFont val="Tahoma"/>
            <family val="2"/>
          </rPr>
          <t>blair hamilton:</t>
        </r>
        <r>
          <rPr>
            <sz val="9"/>
            <color indexed="81"/>
            <rFont val="Tahoma"/>
            <family val="2"/>
          </rPr>
          <t xml:space="preserve">
3 parties a year per class at $50 max reimbursed per party
</t>
        </r>
      </text>
    </comment>
    <comment ref="A35" authorId="2" shapeId="0" xr:uid="{C11DEE9C-A774-419C-8E0D-5694D7C87501}">
      <text>
        <r>
          <rPr>
            <b/>
            <sz val="9"/>
            <color indexed="81"/>
            <rFont val="Tahoma"/>
            <family val="2"/>
          </rPr>
          <t>Hiersche, Kristina M:</t>
        </r>
        <r>
          <rPr>
            <sz val="9"/>
            <color indexed="81"/>
            <rFont val="Tahoma"/>
            <family val="2"/>
          </rPr>
          <t xml:space="preserve">
 (Quickbooks Jun, Web Hosting May, Domain Name)</t>
        </r>
      </text>
    </comment>
    <comment ref="C35" authorId="0" shapeId="0" xr:uid="{F741DC79-5D1F-495D-849E-BE2F504BBB3D}">
      <text>
        <r>
          <rPr>
            <b/>
            <sz val="9"/>
            <color indexed="81"/>
            <rFont val="Tahoma"/>
            <family val="2"/>
          </rPr>
          <t>Emily Davis:</t>
        </r>
        <r>
          <rPr>
            <sz val="9"/>
            <color indexed="81"/>
            <rFont val="Tahoma"/>
            <family val="2"/>
          </rPr>
          <t xml:space="preserve">
Quickbooks</t>
        </r>
      </text>
    </comment>
    <comment ref="D35" authorId="0" shapeId="0" xr:uid="{3559FF4D-C813-4C09-AF40-98422E958B17}">
      <text>
        <r>
          <rPr>
            <sz val="11"/>
            <color theme="1"/>
            <rFont val="Aptos Narrow"/>
            <family val="2"/>
            <scheme val="minor"/>
          </rPr>
          <t>Emily Davis:
Godaddy.com</t>
        </r>
      </text>
    </comment>
    <comment ref="G35" authorId="0" shapeId="0" xr:uid="{461755C8-3A67-49DB-9310-E52FD599690C}">
      <text>
        <r>
          <rPr>
            <b/>
            <sz val="9"/>
            <color indexed="81"/>
            <rFont val="Tahoma"/>
            <family val="2"/>
          </rPr>
          <t>Emily Davis:</t>
        </r>
        <r>
          <rPr>
            <sz val="9"/>
            <color indexed="81"/>
            <rFont val="Tahoma"/>
            <family val="2"/>
          </rPr>
          <t xml:space="preserve">
Word Press</t>
        </r>
      </text>
    </comment>
    <comment ref="G42" authorId="0" shapeId="0" xr:uid="{D772A753-A508-4B25-9613-5D36D58947D9}">
      <text>
        <r>
          <rPr>
            <b/>
            <sz val="9"/>
            <color indexed="81"/>
            <rFont val="Tahoma"/>
            <family val="2"/>
          </rPr>
          <t>Emily Davis:</t>
        </r>
        <r>
          <rPr>
            <sz val="9"/>
            <color indexed="81"/>
            <rFont val="Tahoma"/>
            <family val="2"/>
          </rPr>
          <t xml:space="preserve">
OMSI prepayment for January field trip</t>
        </r>
      </text>
    </comment>
    <comment ref="J43" authorId="0" shapeId="0" xr:uid="{87BE8386-AE38-42D0-A93C-278AA63A7269}">
      <text>
        <r>
          <rPr>
            <b/>
            <sz val="9"/>
            <color indexed="81"/>
            <rFont val="Tahoma"/>
            <family val="2"/>
          </rPr>
          <t>Emily Davis:</t>
        </r>
        <r>
          <rPr>
            <sz val="9"/>
            <color indexed="81"/>
            <rFont val="Tahoma"/>
            <family val="2"/>
          </rPr>
          <t xml:space="preserve">
Zoo field trip</t>
        </r>
      </text>
    </comment>
    <comment ref="K48" authorId="0" shapeId="0" xr:uid="{D97152A6-7713-43A9-BD07-4BE44BD2F575}">
      <text>
        <r>
          <rPr>
            <b/>
            <sz val="9"/>
            <color indexed="81"/>
            <rFont val="Tahoma"/>
            <family val="2"/>
          </rPr>
          <t>Emily Davis:</t>
        </r>
        <r>
          <rPr>
            <sz val="9"/>
            <color indexed="81"/>
            <rFont val="Tahoma"/>
            <family val="2"/>
          </rPr>
          <t xml:space="preserve">
credits for kids/parents paying for t-shirts</t>
        </r>
      </text>
    </comment>
    <comment ref="E53" authorId="0" shapeId="0" xr:uid="{208E0B3E-33FA-47FB-93BB-DB2B55091E33}">
      <text>
        <r>
          <rPr>
            <b/>
            <sz val="9"/>
            <color indexed="81"/>
            <rFont val="Tahoma"/>
            <family val="2"/>
          </rPr>
          <t>Emily Davis:</t>
        </r>
        <r>
          <rPr>
            <sz val="9"/>
            <color indexed="81"/>
            <rFont val="Tahoma"/>
            <family val="2"/>
          </rPr>
          <t xml:space="preserve">
$152.21 Checks reorder</t>
        </r>
      </text>
    </comment>
    <comment ref="O59" authorId="0" shapeId="0" xr:uid="{B7C02EC6-818A-41DA-B503-0547A8B6971D}">
      <text>
        <r>
          <rPr>
            <b/>
            <sz val="9"/>
            <color indexed="81"/>
            <rFont val="Tahoma"/>
            <family val="2"/>
          </rPr>
          <t>Emily Davis:</t>
        </r>
        <r>
          <rPr>
            <sz val="9"/>
            <color indexed="81"/>
            <rFont val="Tahoma"/>
            <family val="2"/>
          </rPr>
          <t xml:space="preserve">
Additional $250 approved to spend at 11/6 PTO meeting</t>
        </r>
      </text>
    </comment>
    <comment ref="O61" authorId="1" shapeId="0" xr:uid="{490EA6CC-90FD-4092-9F86-418A6CE91622}">
      <text>
        <r>
          <rPr>
            <sz val="9"/>
            <color indexed="81"/>
            <rFont val="Tahoma"/>
            <family val="2"/>
          </rPr>
          <t xml:space="preserve">(1) $1,100 for each conference week as well as teacher appreciation week.  
(2) $50 for birthday's x 10 months (Setp-June).
(3) 9 months x $125 for Wednesday staff treats (Oct-June)
(4) offset by donations projected above
</t>
        </r>
      </text>
    </comment>
    <comment ref="O62" authorId="0" shapeId="0" xr:uid="{92564D37-3873-486E-A158-4A4EC427AE42}">
      <text>
        <r>
          <rPr>
            <b/>
            <sz val="9"/>
            <color indexed="81"/>
            <rFont val="Tahoma"/>
            <family val="2"/>
          </rPr>
          <t>Emily Davis:</t>
        </r>
        <r>
          <rPr>
            <sz val="9"/>
            <color indexed="81"/>
            <rFont val="Tahoma"/>
            <family val="2"/>
          </rPr>
          <t xml:space="preserve">
additional $250 approved for this year at 11/6 PTO meeting</t>
        </r>
      </text>
    </comment>
    <comment ref="F63" authorId="0" shapeId="0" xr:uid="{5FC97B63-CFBF-42BA-B8D0-F147B5CFB861}">
      <text>
        <r>
          <rPr>
            <b/>
            <sz val="9"/>
            <color indexed="81"/>
            <rFont val="Tahoma"/>
            <family val="2"/>
          </rPr>
          <t>Emily Davis:</t>
        </r>
        <r>
          <rPr>
            <sz val="9"/>
            <color indexed="81"/>
            <rFont val="Tahoma"/>
            <family val="2"/>
          </rPr>
          <t xml:space="preserve">
Oregon annual tax filing</t>
        </r>
      </text>
    </comment>
    <comment ref="J65" authorId="0" shapeId="0" xr:uid="{67DEECA2-EAC7-432F-A797-297C71FCF68F}">
      <text>
        <r>
          <rPr>
            <b/>
            <sz val="9"/>
            <color indexed="81"/>
            <rFont val="Tahoma"/>
            <family val="2"/>
          </rPr>
          <t>Emily Davis:</t>
        </r>
        <r>
          <rPr>
            <sz val="9"/>
            <color indexed="81"/>
            <rFont val="Tahoma"/>
            <family val="2"/>
          </rPr>
          <t xml:space="preserve">
PTO board approved purchase of Chomp saws for STEAM lab</t>
        </r>
      </text>
    </comment>
    <comment ref="L65" authorId="0" shapeId="0" xr:uid="{5F76F034-586C-42D3-B809-517813E4F0EC}">
      <text>
        <r>
          <rPr>
            <b/>
            <sz val="9"/>
            <color indexed="81"/>
            <rFont val="Tahoma"/>
            <charset val="1"/>
          </rPr>
          <t>Emily Davis:</t>
        </r>
        <r>
          <rPr>
            <sz val="9"/>
            <color indexed="81"/>
            <rFont val="Tahoma"/>
            <charset val="1"/>
          </rPr>
          <t xml:space="preserve">
$299.99 playground cart.  PTO approved additional spend for this purchase</t>
        </r>
      </text>
    </comment>
    <comment ref="M65" authorId="0" shapeId="0" xr:uid="{E9500348-E260-47C5-BE41-4A8FC3FF6C9A}">
      <text>
        <r>
          <rPr>
            <b/>
            <sz val="9"/>
            <color indexed="81"/>
            <rFont val="Tahoma"/>
            <charset val="1"/>
          </rPr>
          <t>Emily Davis:</t>
        </r>
        <r>
          <rPr>
            <sz val="9"/>
            <color indexed="81"/>
            <rFont val="Tahoma"/>
            <charset val="1"/>
          </rPr>
          <t xml:space="preserve">
$1,432.17 for recess items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Davis</author>
  </authors>
  <commentList>
    <comment ref="D10" authorId="0" shapeId="0" xr:uid="{7D2A4FC5-77E9-4708-8CD6-0167AB7B99FD}">
      <text>
        <r>
          <rPr>
            <b/>
            <sz val="9"/>
            <color indexed="81"/>
            <rFont val="Tahoma"/>
            <family val="2"/>
          </rPr>
          <t>Emily Davis:</t>
        </r>
        <r>
          <rPr>
            <sz val="9"/>
            <color indexed="81"/>
            <rFont val="Tahoma"/>
            <family val="2"/>
          </rPr>
          <t xml:space="preserve">
4/16/26 - request to add $150 to purcahse app for student help in class. Board approved the increase</t>
        </r>
      </text>
    </comment>
    <comment ref="H10" authorId="0" shapeId="0" xr:uid="{7ACC04E0-1651-43EE-8CCD-19E2A9D8DE53}">
      <text>
        <r>
          <rPr>
            <b/>
            <sz val="9"/>
            <color indexed="81"/>
            <rFont val="Tahoma"/>
            <family val="2"/>
          </rPr>
          <t>Emily Davis:</t>
        </r>
        <r>
          <rPr>
            <sz val="9"/>
            <color indexed="81"/>
            <rFont val="Tahoma"/>
            <family val="2"/>
          </rPr>
          <t xml:space="preserve">
parents for Fall party agreed to donate the $50 to Sunshine fund</t>
        </r>
      </text>
    </comment>
  </commentList>
</comments>
</file>

<file path=xl/sharedStrings.xml><?xml version="1.0" encoding="utf-8"?>
<sst xmlns="http://schemas.openxmlformats.org/spreadsheetml/2006/main" count="268" uniqueCount="238">
  <si>
    <t>July</t>
  </si>
  <si>
    <t>Aug</t>
  </si>
  <si>
    <t>Sept</t>
  </si>
  <si>
    <t>Oct</t>
  </si>
  <si>
    <t>Nov</t>
  </si>
  <si>
    <t>Dec</t>
  </si>
  <si>
    <t>Jan</t>
  </si>
  <si>
    <t>Feb</t>
  </si>
  <si>
    <t>Mar</t>
  </si>
  <si>
    <t>Apr</t>
  </si>
  <si>
    <t>May</t>
  </si>
  <si>
    <t>Jun</t>
  </si>
  <si>
    <t>TYD</t>
  </si>
  <si>
    <t>Approved Budget for 25/26</t>
  </si>
  <si>
    <t>Variance to budget</t>
  </si>
  <si>
    <t>Income</t>
  </si>
  <si>
    <t>5th Grade Send Off (flow-thru)</t>
  </si>
  <si>
    <t>Book Fair Cash Sales (Flow-thru)</t>
  </si>
  <si>
    <t>Bottle Drop</t>
  </si>
  <si>
    <t>Box Tops</t>
  </si>
  <si>
    <t>Fun Run</t>
  </si>
  <si>
    <r>
      <t>Member/Misc</t>
    </r>
    <r>
      <rPr>
        <sz val="8"/>
        <rFont val="Aptos Narrow"/>
        <family val="2"/>
        <scheme val="minor"/>
      </rPr>
      <t xml:space="preserve"> (Donation; incl. corp. match funds)</t>
    </r>
  </si>
  <si>
    <t>Music &amp; School Concert Donations</t>
  </si>
  <si>
    <t>Restaurant/Retail Fundraiser</t>
  </si>
  <si>
    <r>
      <t>Rewards Programs</t>
    </r>
    <r>
      <rPr>
        <sz val="8"/>
        <rFont val="Aptos Narrow"/>
        <family val="2"/>
        <scheme val="minor"/>
      </rPr>
      <t xml:space="preserve"> (Amazon Smile, Fred Meyer)</t>
    </r>
  </si>
  <si>
    <t>School Supplies Donations</t>
  </si>
  <si>
    <t>Staff Appreciation donations</t>
  </si>
  <si>
    <t>Total Income</t>
  </si>
  <si>
    <t>Expenses</t>
  </si>
  <si>
    <t>Budget</t>
  </si>
  <si>
    <t>Working Budget</t>
  </si>
  <si>
    <t>Remaining</t>
  </si>
  <si>
    <t>5th Grade Send Off</t>
  </si>
  <si>
    <t xml:space="preserve">*This is the amount the PTO has agreed to contribute. Any additional funds raised by the 5th graders gets added to this total. </t>
  </si>
  <si>
    <t>Art Literacy</t>
  </si>
  <si>
    <t>Assemblies</t>
  </si>
  <si>
    <t>Battle of the Books (OBOB)</t>
  </si>
  <si>
    <t>Beaverton Education Foundation Donation</t>
  </si>
  <si>
    <t>Approved to add at 11/6 PTO meeting</t>
  </si>
  <si>
    <t>Bike Repair Program</t>
  </si>
  <si>
    <r>
      <t xml:space="preserve">Boohoo Woohoo </t>
    </r>
    <r>
      <rPr>
        <sz val="8"/>
        <rFont val="Aptos Narrow"/>
        <family val="2"/>
        <scheme val="minor"/>
      </rPr>
      <t>(welcome new families</t>
    </r>
    <r>
      <rPr>
        <sz val="11"/>
        <rFont val="Aptos Narrow"/>
        <family val="2"/>
        <scheme val="minor"/>
      </rPr>
      <t>)</t>
    </r>
  </si>
  <si>
    <r>
      <t>Book Fair/Library Profit Spending</t>
    </r>
    <r>
      <rPr>
        <sz val="8"/>
        <rFont val="Aptos Narrow"/>
        <family val="2"/>
        <scheme val="minor"/>
      </rPr>
      <t xml:space="preserve"> (previous yrs proceeds)</t>
    </r>
  </si>
  <si>
    <t>Book Room</t>
  </si>
  <si>
    <t>Chess Club</t>
  </si>
  <si>
    <t>Increased from $500 to $550 for 25-26; request to increase to $575 from next year</t>
  </si>
  <si>
    <t>Class Parties</t>
  </si>
  <si>
    <t>Clothes Closet Donation</t>
  </si>
  <si>
    <t>College/Scholarship</t>
  </si>
  <si>
    <t>Music Room Supplies / School Concerts</t>
  </si>
  <si>
    <t>*music budget is actually $3250 plus the $250 each teacher also gets. Request to hold budget the same for next year</t>
  </si>
  <si>
    <r>
      <t xml:space="preserve">Family Events </t>
    </r>
    <r>
      <rPr>
        <sz val="9"/>
        <rFont val="Aptos Narrow"/>
        <family val="2"/>
        <scheme val="minor"/>
      </rPr>
      <t>- Donut w/GrownUp/Dance</t>
    </r>
  </si>
  <si>
    <t>Dry Cleaining (Furry Grover)</t>
  </si>
  <si>
    <t>Dues &amp; Subscriptions</t>
  </si>
  <si>
    <t>Emergency Buckets</t>
  </si>
  <si>
    <t>Field Day (Villegas)</t>
  </si>
  <si>
    <t>Field Trips - Kindy</t>
  </si>
  <si>
    <t>Field Trips - 1st Grade</t>
  </si>
  <si>
    <t>Field Trips - 2nd Grade</t>
  </si>
  <si>
    <t xml:space="preserve">*field trip buses are roughly $350-450 for 2 buses, depending on how many hours they're gone. </t>
  </si>
  <si>
    <t>Field Trips - 3rd Grade</t>
  </si>
  <si>
    <t>Field Trips - 4th Grade</t>
  </si>
  <si>
    <t>Field Trips - 5th Grade</t>
  </si>
  <si>
    <r>
      <t>Field Trips</t>
    </r>
    <r>
      <rPr>
        <sz val="8"/>
        <rFont val="Aptos Narrow"/>
        <family val="2"/>
        <scheme val="minor"/>
      </rPr>
      <t xml:space="preserve"> - 5th grade College/Career Readiness</t>
    </r>
  </si>
  <si>
    <t>Fun Run - Pledgestar fees</t>
  </si>
  <si>
    <t>Fun Run supplies, prizes, and T-shirts</t>
  </si>
  <si>
    <t>Green Team</t>
  </si>
  <si>
    <t>Jump Rope Club (t-shirts)</t>
  </si>
  <si>
    <t>Teddy Bear Event</t>
  </si>
  <si>
    <t>$620 approved at 11/6 PTO meeting.  11/20 update: Will not happen this school year, but plan for it in 2026-2027</t>
  </si>
  <si>
    <t>Insurance</t>
  </si>
  <si>
    <t xml:space="preserve">Meet Your Teacher/Back to School </t>
  </si>
  <si>
    <t>PTO Meetings</t>
  </si>
  <si>
    <t>PTO Supplies</t>
  </si>
  <si>
    <t>PTO SWAG/Spirit Wear</t>
  </si>
  <si>
    <t xml:space="preserve">Principal Budget </t>
  </si>
  <si>
    <t>Scholastic (3rd Grade)</t>
  </si>
  <si>
    <t>Scholastic (5th Grade)</t>
  </si>
  <si>
    <t>School Supplies</t>
  </si>
  <si>
    <t>snack pantry</t>
  </si>
  <si>
    <t>additional $250 approved at 11/6 PTO meeting and another $250 approved at board meeting on 2/17/26</t>
  </si>
  <si>
    <t>Spring Event (Multi-Cultural night)</t>
  </si>
  <si>
    <t>Staff Appreciation/Meals/Bdays</t>
  </si>
  <si>
    <t>Sunshine Fund</t>
  </si>
  <si>
    <t>additional $250 approved at 11/6 PTO meeting; $1,000 donation from community to specifically add to the Sunshine fund+another $440.04 in Paypal PLUS $50 from class party re-allocation</t>
  </si>
  <si>
    <t>Taxes &amp; Licenses</t>
  </si>
  <si>
    <t>Teacher Supplies</t>
  </si>
  <si>
    <t>Unbudgeted Expense</t>
  </si>
  <si>
    <t>Explorer's Club</t>
  </si>
  <si>
    <t>Approved to add at 3/5 PTO meeting</t>
  </si>
  <si>
    <t>Cutting Die</t>
  </si>
  <si>
    <t>$1,000 Approved to add at 3/5 PTO meeting, but now not needed</t>
  </si>
  <si>
    <t>PlayFitFun</t>
  </si>
  <si>
    <t>Approved at Jan 8th PTO meeting to add to budget</t>
  </si>
  <si>
    <t>Math Materials</t>
  </si>
  <si>
    <t>approved at 5/7 PTO meeting</t>
  </si>
  <si>
    <t>Wellness (SEL) Center</t>
  </si>
  <si>
    <t>Total Expenses</t>
  </si>
  <si>
    <t>Net Operating Income</t>
  </si>
  <si>
    <t>Other Income</t>
  </si>
  <si>
    <t xml:space="preserve">   Bank Dividends</t>
  </si>
  <si>
    <t xml:space="preserve">   CD Dividends</t>
  </si>
  <si>
    <t>Total Other Income</t>
  </si>
  <si>
    <t>Net Income</t>
  </si>
  <si>
    <t>Meeting Updates &amp; Discussions</t>
  </si>
  <si>
    <t>Business Checking</t>
  </si>
  <si>
    <t>Business Savings</t>
  </si>
  <si>
    <t>CD 10 - 12 month (Jan)</t>
  </si>
  <si>
    <t>CD 15 - 12 month (Jul)</t>
  </si>
  <si>
    <t>Bottle drop</t>
  </si>
  <si>
    <t>Grade/Class</t>
  </si>
  <si>
    <t>Name</t>
  </si>
  <si>
    <t>Spent YTD</t>
  </si>
  <si>
    <t>Class Parties Spent</t>
  </si>
  <si>
    <t>Remaining Party Budget</t>
  </si>
  <si>
    <t>PreK</t>
  </si>
  <si>
    <t>Norris</t>
  </si>
  <si>
    <t>K</t>
  </si>
  <si>
    <t>Gooding</t>
  </si>
  <si>
    <t>Barto</t>
  </si>
  <si>
    <t>McCullough</t>
  </si>
  <si>
    <t>1st</t>
  </si>
  <si>
    <t>Newsom</t>
  </si>
  <si>
    <t>Ford</t>
  </si>
  <si>
    <t>2nd</t>
  </si>
  <si>
    <t>Standifer</t>
  </si>
  <si>
    <t>4/16/26 - board approved to add $150 for the purchase of some apps to help in one of the classrooms</t>
  </si>
  <si>
    <t>Viegas</t>
  </si>
  <si>
    <t>3rd</t>
  </si>
  <si>
    <t>Beltran</t>
  </si>
  <si>
    <t>West</t>
  </si>
  <si>
    <t>Oakes</t>
  </si>
  <si>
    <t>4th</t>
  </si>
  <si>
    <t>Calafet</t>
  </si>
  <si>
    <t>Carter</t>
  </si>
  <si>
    <t>5th</t>
  </si>
  <si>
    <t>Lee</t>
  </si>
  <si>
    <t>Serrao</t>
  </si>
  <si>
    <t>Peterson</t>
  </si>
  <si>
    <t>Coach/Intvtn</t>
  </si>
  <si>
    <t>Hausman</t>
  </si>
  <si>
    <t>Pearson</t>
  </si>
  <si>
    <t>Reading</t>
  </si>
  <si>
    <t>King</t>
  </si>
  <si>
    <t>Counselor</t>
  </si>
  <si>
    <t>Caryl</t>
  </si>
  <si>
    <t>ESL</t>
  </si>
  <si>
    <t>Bell</t>
  </si>
  <si>
    <t>Debusk</t>
  </si>
  <si>
    <t>Resource Rm</t>
  </si>
  <si>
    <t>Choo</t>
  </si>
  <si>
    <t>Howard</t>
  </si>
  <si>
    <t>Library</t>
  </si>
  <si>
    <t>Donnelly</t>
  </si>
  <si>
    <t>Music</t>
  </si>
  <si>
    <t>Colett</t>
  </si>
  <si>
    <t>*included in music budget</t>
  </si>
  <si>
    <t>PE</t>
  </si>
  <si>
    <t>Villegas</t>
  </si>
  <si>
    <t>Social Wkr</t>
  </si>
  <si>
    <t>Silver</t>
  </si>
  <si>
    <t>Speech</t>
  </si>
  <si>
    <t>Castro/Moreno</t>
  </si>
  <si>
    <t>Stu Success</t>
  </si>
  <si>
    <t>Starr</t>
  </si>
  <si>
    <t>Paras</t>
  </si>
  <si>
    <t>Available to all paras</t>
  </si>
  <si>
    <t>added 4/30 per PTO vote. increase to $250 next year</t>
  </si>
  <si>
    <t>Tech/STEAM</t>
  </si>
  <si>
    <t>Roller</t>
  </si>
  <si>
    <t>Statement of Activity</t>
  </si>
  <si>
    <t>Fir Grove PTO</t>
  </si>
  <si>
    <t/>
  </si>
  <si>
    <t>Total</t>
  </si>
  <si>
    <t>Budget Sheet</t>
  </si>
  <si>
    <t>Variance</t>
  </si>
  <si>
    <t>Revenue</t>
  </si>
  <si>
    <t>5th Grade Send Off (Income)</t>
  </si>
  <si>
    <t>Book Fair Sales</t>
  </si>
  <si>
    <t>BottleDrop</t>
  </si>
  <si>
    <t>Box Tops (Income)</t>
  </si>
  <si>
    <t>Fun Run (Income)</t>
  </si>
  <si>
    <t>Member/Misc (Donations)</t>
  </si>
  <si>
    <t>Music &amp; School Concert Fundraising</t>
  </si>
  <si>
    <t>Restaurant / Retail Fundraisers</t>
  </si>
  <si>
    <t>Rewards Programs (Donations)</t>
  </si>
  <si>
    <t>Kroger Rewards (Fred Meyer)</t>
  </si>
  <si>
    <t>Total for Rewards Programs (Donations)</t>
  </si>
  <si>
    <t>School Supplies (Income)</t>
  </si>
  <si>
    <t>Staff Appreciation Donations</t>
  </si>
  <si>
    <t>Total for Revenue</t>
  </si>
  <si>
    <t>Gross Profit</t>
  </si>
  <si>
    <t>Expenditures</t>
  </si>
  <si>
    <t>5th Grade Send Off (Expenses)</t>
  </si>
  <si>
    <t>Battle of the Books</t>
  </si>
  <si>
    <t>Beaverton Education Foundation</t>
  </si>
  <si>
    <t>Boo Hoo/Woo Hoo</t>
  </si>
  <si>
    <t>Community Event</t>
  </si>
  <si>
    <t>Family Events - Donuts w/grownup / School Dance Etc</t>
  </si>
  <si>
    <t>Field Trips</t>
  </si>
  <si>
    <t>1st Grade</t>
  </si>
  <si>
    <t>3rd Grade</t>
  </si>
  <si>
    <t>4th Grade</t>
  </si>
  <si>
    <t>5th Grade</t>
  </si>
  <si>
    <t>Total for Field Trips</t>
  </si>
  <si>
    <t>Fun Run (Expenses)</t>
  </si>
  <si>
    <t>Jump Rope Club</t>
  </si>
  <si>
    <t>Meet Your Teacher</t>
  </si>
  <si>
    <t>Music &amp; Concert Supplies &amp; Expenses</t>
  </si>
  <si>
    <t>Principal Budget</t>
  </si>
  <si>
    <t>Scholastic Subscription (3rd Grade)</t>
  </si>
  <si>
    <t>Scholastic Subscription (5th Grade)</t>
  </si>
  <si>
    <t>School Supplies (Expenses)</t>
  </si>
  <si>
    <t>Snack Pantry</t>
  </si>
  <si>
    <t>Staff Appreciation (Meals, staff treats, Bdays, etc)</t>
  </si>
  <si>
    <t>Staff Meals (Conferences, first friday, etc)</t>
  </si>
  <si>
    <t>Total for Staff Appreciation (Meals, staff treats, Bdays, etc)</t>
  </si>
  <si>
    <t>Total for Expenditures</t>
  </si>
  <si>
    <t>Net Operating Revenue</t>
  </si>
  <si>
    <t>Other Revenue</t>
  </si>
  <si>
    <t>Bank Dividends</t>
  </si>
  <si>
    <t>CD Dividends</t>
  </si>
  <si>
    <t>Total for Other Revenue</t>
  </si>
  <si>
    <t>Net Other Revenue</t>
  </si>
  <si>
    <t>Net Revenue</t>
  </si>
  <si>
    <t>$300 budget increase to purchase additional bikes 4/7/26, another $100approved via Slack on 5/8</t>
  </si>
  <si>
    <t>Field Day</t>
  </si>
  <si>
    <t>2nd Grade</t>
  </si>
  <si>
    <t>Spirit Wear (Expenses)</t>
  </si>
  <si>
    <t>6/4 PTO meeting approved spending $2,000 on indoor recess items (list provided by Ms. Miles on behalf of staff)</t>
  </si>
  <si>
    <t>College Visit</t>
  </si>
  <si>
    <t>Kindy</t>
  </si>
  <si>
    <t>overage of $125 ok per approval  from Emily W. 6/9/2026</t>
  </si>
  <si>
    <t>Account Balances as of 6/30/2026</t>
  </si>
  <si>
    <t>July 1, 2025-June 30, 2026</t>
  </si>
  <si>
    <t>Cash Basis Wednesday, July 08, 2026 05:19 AM GMTZ</t>
  </si>
  <si>
    <t>- Over $25k in spent in the last two months (May &amp; June), which is 42% of the full year spending</t>
  </si>
  <si>
    <t>- 2026/2027 will start off with over $550 in the bottle drop account</t>
  </si>
  <si>
    <t>- Restaurant Fundraising:  Shake Shack and Papa Murphy's checks came in during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</si>
</sst>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00"/>
  </numFmts>
  <fonts count="42" x14ac:knownFonts="1">
    <font>
      <sz val="11"/>
      <color theme="1"/>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
      <b/>
      <sz val="11"/>
      <name val="Aptos Narrow"/>
      <family val="2"/>
      <scheme val="minor"/>
    </font>
    <font>
      <b/>
      <sz val="9"/>
      <name val="Aptos Narrow"/>
      <family val="2"/>
      <scheme val="minor"/>
    </font>
    <font>
      <sz val="8"/>
      <name val="Aptos Narrow"/>
      <family val="2"/>
      <scheme val="minor"/>
    </font>
    <font>
      <strike/>
      <sz val="11"/>
      <color theme="1"/>
      <name val="Aptos Narrow"/>
      <family val="2"/>
      <scheme val="minor"/>
    </font>
    <font>
      <sz val="9"/>
      <name val="Aptos Narrow"/>
      <family val="2"/>
      <scheme val="minor"/>
    </font>
    <font>
      <b/>
      <sz val="10"/>
      <name val="Aptos Narrow"/>
      <family val="2"/>
      <scheme val="minor"/>
    </font>
    <font>
      <sz val="10"/>
      <name val="Aptos Narrow"/>
      <family val="2"/>
      <scheme val="minor"/>
    </font>
    <font>
      <sz val="10"/>
      <color theme="1"/>
      <name val="Aptos Narrow"/>
      <family val="2"/>
      <scheme val="minor"/>
    </font>
    <font>
      <b/>
      <sz val="9"/>
      <color indexed="81"/>
      <name val="Tahoma"/>
      <family val="2"/>
    </font>
    <font>
      <sz val="9"/>
      <color indexed="81"/>
      <name val="Tahoma"/>
      <family val="2"/>
    </font>
    <font>
      <i/>
      <sz val="10"/>
      <color theme="1"/>
      <name val="Aptos Narrow"/>
      <family val="2"/>
      <scheme val="minor"/>
    </font>
    <font>
      <sz val="10"/>
      <color rgb="FFFF0000"/>
      <name val="Aptos Narrow"/>
      <family val="2"/>
      <scheme val="minor"/>
    </font>
    <font>
      <b/>
      <i/>
      <sz val="10"/>
      <name val="Aptos Narrow"/>
      <family val="2"/>
      <scheme val="minor"/>
    </font>
    <font>
      <i/>
      <sz val="10"/>
      <name val="Aptos Narrow"/>
      <family val="2"/>
      <scheme val="minor"/>
    </font>
    <font>
      <b/>
      <sz val="11"/>
      <color theme="1"/>
      <name val="Aptos Narrow"/>
      <family val="2"/>
      <scheme val="minor"/>
    </font>
    <font>
      <sz val="10"/>
      <name val="Arial"/>
      <family val="2"/>
    </font>
    <font>
      <u/>
      <sz val="11"/>
      <name val="Aptos Narrow"/>
      <family val="2"/>
      <scheme val="minor"/>
    </font>
    <font>
      <i/>
      <sz val="8"/>
      <color theme="1"/>
      <name val="Aptos Narrow"/>
      <family val="2"/>
      <scheme val="minor"/>
    </font>
    <font>
      <b/>
      <u/>
      <sz val="11"/>
      <name val="Aptos Narrow"/>
      <family val="2"/>
      <scheme val="minor"/>
    </font>
    <font>
      <u/>
      <sz val="11"/>
      <color theme="1"/>
      <name val="Aptos Narrow"/>
      <family val="2"/>
      <scheme val="minor"/>
    </font>
    <font>
      <b/>
      <u/>
      <sz val="9"/>
      <name val="Aptos Narrow"/>
      <family val="2"/>
      <scheme val="minor"/>
    </font>
    <font>
      <sz val="11"/>
      <color indexed="8"/>
      <name val="Aptos Narrow"/>
      <family val="2"/>
      <scheme val="minor"/>
    </font>
    <font>
      <b/>
      <sz val="12"/>
      <color theme="1"/>
      <name val="Aptos Narrow"/>
      <family val="2"/>
      <scheme val="minor"/>
    </font>
    <font>
      <i/>
      <sz val="11"/>
      <color theme="1"/>
      <name val="Aptos Narrow"/>
      <family val="2"/>
      <scheme val="minor"/>
    </font>
    <font>
      <b/>
      <i/>
      <sz val="10"/>
      <color rgb="FF000000"/>
      <name val="Aptos Narrow"/>
      <family val="2"/>
      <scheme val="minor"/>
    </font>
    <font>
      <b/>
      <sz val="14"/>
      <color theme="1"/>
      <name val="Arial"/>
      <family val="2"/>
    </font>
    <font>
      <b/>
      <sz val="12"/>
      <color theme="1"/>
      <name val="Arial"/>
      <family val="2"/>
    </font>
    <font>
      <b/>
      <sz val="10"/>
      <color theme="1"/>
      <name val="Arial"/>
      <family val="2"/>
    </font>
    <font>
      <b/>
      <sz val="9"/>
      <color theme="1"/>
      <name val="Arial"/>
      <family val="2"/>
    </font>
    <font>
      <sz val="8"/>
      <color theme="1"/>
      <name val="Arial"/>
      <family val="2"/>
    </font>
    <font>
      <b/>
      <sz val="8"/>
      <color theme="1"/>
      <name val="Arial"/>
      <family val="2"/>
    </font>
    <font>
      <sz val="8"/>
      <color theme="1"/>
      <name val="Aptos Narrow"/>
      <family val="2"/>
      <scheme val="minor"/>
    </font>
    <font>
      <b/>
      <sz val="8"/>
      <color theme="1"/>
      <name val="Aptos Narrow"/>
      <family val="2"/>
      <scheme val="minor"/>
    </font>
    <font>
      <strike/>
      <sz val="11"/>
      <name val="Aptos Narrow"/>
      <family val="2"/>
      <scheme val="minor"/>
    </font>
    <font>
      <b/>
      <i/>
      <sz val="10"/>
      <color theme="1"/>
      <name val="Aptos Narrow"/>
      <family val="2"/>
      <scheme val="minor"/>
    </font>
    <font>
      <sz val="9"/>
      <color indexed="81"/>
      <name val="Tahoma"/>
      <charset val="1"/>
    </font>
    <font>
      <b/>
      <sz val="9"/>
      <color indexed="81"/>
      <name val="Tahoma"/>
      <charset val="1"/>
    </font>
    <font>
      <sz val="12"/>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E1E1"/>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2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indexed="64"/>
      </left>
      <right style="thin">
        <color theme="0" tint="-0.34998626667073579"/>
      </right>
      <top style="medium">
        <color indexed="64"/>
      </top>
      <bottom style="medium">
        <color indexed="64"/>
      </bottom>
      <diagonal/>
    </border>
    <border>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style="thin">
        <color indexed="64"/>
      </top>
      <bottom style="thin">
        <color indexed="64"/>
      </bottom>
      <diagonal/>
    </border>
    <border>
      <left/>
      <right style="medium">
        <color indexed="64"/>
      </right>
      <top style="thin">
        <color indexed="8"/>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bottom style="thin">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thin">
        <color auto="1"/>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43" fontId="19" fillId="0" borderId="0" applyFont="0" applyFill="0" applyBorder="0" applyAlignment="0" applyProtection="0"/>
    <xf numFmtId="0" fontId="25" fillId="0" borderId="0"/>
    <xf numFmtId="0" fontId="26" fillId="0" borderId="22"/>
    <xf numFmtId="9" fontId="1" fillId="0" borderId="0" applyFont="0" applyFill="0" applyBorder="0" applyAlignment="0" applyProtection="0"/>
    <xf numFmtId="0" fontId="41" fillId="0" borderId="0"/>
    <xf numFmtId="0" fontId="26" fillId="0" borderId="0"/>
    <xf numFmtId="0" fontId="26" fillId="0" borderId="26"/>
  </cellStyleXfs>
  <cellXfs count="170">
    <xf numFmtId="0" fontId="0" fillId="0" borderId="0" xfId="0"/>
    <xf numFmtId="0" fontId="3" fillId="0" borderId="0" xfId="0" applyFont="1" applyAlignment="1">
      <alignment horizontal="center" wrapText="1"/>
    </xf>
    <xf numFmtId="164" fontId="3" fillId="0" borderId="0" xfId="1" applyNumberFormat="1" applyFont="1" applyAlignment="1">
      <alignment horizontal="center" wrapText="1"/>
    </xf>
    <xf numFmtId="164" fontId="4" fillId="0" borderId="0" xfId="1" applyNumberFormat="1" applyFont="1" applyAlignment="1">
      <alignment horizontal="center" wrapText="1"/>
    </xf>
    <xf numFmtId="165" fontId="5" fillId="0" borderId="0" xfId="2" applyNumberFormat="1" applyFont="1" applyBorder="1" applyAlignment="1">
      <alignment horizontal="center" wrapText="1"/>
    </xf>
    <xf numFmtId="0" fontId="0" fillId="0" borderId="0" xfId="0" applyAlignment="1">
      <alignment horizontal="center" wrapText="1"/>
    </xf>
    <xf numFmtId="0" fontId="4" fillId="0" borderId="1" xfId="0" applyFont="1" applyBorder="1" applyAlignment="1">
      <alignment horizontal="left" vertical="top" wrapText="1"/>
    </xf>
    <xf numFmtId="164" fontId="4" fillId="2" borderId="1" xfId="1" applyNumberFormat="1" applyFont="1" applyFill="1" applyBorder="1" applyAlignment="1">
      <alignment horizontal="left" vertical="top" wrapText="1"/>
    </xf>
    <xf numFmtId="164" fontId="4" fillId="0" borderId="1" xfId="1" applyNumberFormat="1" applyFont="1" applyBorder="1" applyAlignment="1">
      <alignment horizontal="left" vertical="top" wrapText="1"/>
    </xf>
    <xf numFmtId="164" fontId="4" fillId="3" borderId="1" xfId="1" applyNumberFormat="1" applyFont="1" applyFill="1" applyBorder="1" applyAlignment="1">
      <alignment horizontal="left" vertical="top" wrapText="1"/>
    </xf>
    <xf numFmtId="165" fontId="3" fillId="4" borderId="1" xfId="2" applyNumberFormat="1" applyFont="1" applyFill="1" applyBorder="1" applyAlignment="1">
      <alignment vertical="top"/>
    </xf>
    <xf numFmtId="0" fontId="0" fillId="0" borderId="0" xfId="0" applyAlignment="1">
      <alignment wrapText="1"/>
    </xf>
    <xf numFmtId="4" fontId="3" fillId="0" borderId="1" xfId="0" applyNumberFormat="1" applyFont="1" applyBorder="1" applyAlignment="1">
      <alignment horizontal="left" vertical="top" wrapText="1"/>
    </xf>
    <xf numFmtId="164" fontId="3" fillId="2" borderId="1" xfId="1" applyNumberFormat="1" applyFont="1" applyFill="1" applyBorder="1" applyAlignment="1">
      <alignment horizontal="left" vertical="top" wrapText="1"/>
    </xf>
    <xf numFmtId="164" fontId="3" fillId="0" borderId="1" xfId="1" applyNumberFormat="1" applyFont="1" applyBorder="1" applyAlignment="1">
      <alignment horizontal="left" vertical="top" wrapText="1"/>
    </xf>
    <xf numFmtId="164" fontId="3" fillId="3" borderId="1" xfId="1" applyNumberFormat="1" applyFont="1" applyFill="1" applyBorder="1" applyAlignment="1">
      <alignment horizontal="left" vertical="top" wrapText="1"/>
    </xf>
    <xf numFmtId="164" fontId="0" fillId="0" borderId="0" xfId="1" applyNumberFormat="1" applyFont="1" applyAlignment="1">
      <alignment vertical="top" wrapText="1"/>
    </xf>
    <xf numFmtId="164" fontId="3" fillId="5" borderId="1" xfId="1" applyNumberFormat="1" applyFont="1" applyFill="1" applyBorder="1" applyAlignment="1">
      <alignment horizontal="left" vertical="top" wrapText="1"/>
    </xf>
    <xf numFmtId="0" fontId="3" fillId="0" borderId="1" xfId="0" applyFont="1" applyBorder="1" applyAlignment="1">
      <alignment horizontal="left" vertical="top" wrapText="1"/>
    </xf>
    <xf numFmtId="164" fontId="0" fillId="0" borderId="0" xfId="0" applyNumberFormat="1"/>
    <xf numFmtId="4" fontId="3" fillId="0" borderId="2" xfId="0" applyNumberFormat="1" applyFont="1" applyBorder="1" applyAlignment="1">
      <alignment horizontal="left" vertical="top" wrapText="1"/>
    </xf>
    <xf numFmtId="164" fontId="3" fillId="2" borderId="2" xfId="1" applyNumberFormat="1" applyFont="1" applyFill="1" applyBorder="1" applyAlignment="1">
      <alignment horizontal="left" vertical="top" wrapText="1"/>
    </xf>
    <xf numFmtId="164" fontId="3" fillId="0" borderId="2" xfId="1" applyNumberFormat="1" applyFont="1" applyBorder="1" applyAlignment="1">
      <alignment horizontal="left" vertical="top" wrapText="1"/>
    </xf>
    <xf numFmtId="164" fontId="3" fillId="3" borderId="2" xfId="1" applyNumberFormat="1" applyFont="1" applyFill="1" applyBorder="1" applyAlignment="1">
      <alignment horizontal="left" vertical="top" wrapText="1"/>
    </xf>
    <xf numFmtId="165" fontId="3" fillId="4" borderId="2" xfId="2" applyNumberFormat="1" applyFont="1" applyFill="1" applyBorder="1" applyAlignment="1">
      <alignment vertical="top"/>
    </xf>
    <xf numFmtId="4" fontId="4" fillId="0" borderId="3" xfId="0" applyNumberFormat="1" applyFont="1" applyBorder="1" applyAlignment="1">
      <alignment horizontal="left" vertical="top" wrapText="1"/>
    </xf>
    <xf numFmtId="164" fontId="4" fillId="2" borderId="4" xfId="1" applyNumberFormat="1" applyFont="1" applyFill="1" applyBorder="1" applyAlignment="1">
      <alignment horizontal="left" vertical="top" wrapText="1"/>
    </xf>
    <xf numFmtId="164" fontId="4" fillId="0" borderId="4" xfId="1" applyNumberFormat="1" applyFont="1" applyBorder="1" applyAlignment="1">
      <alignment horizontal="left" vertical="top" wrapText="1"/>
    </xf>
    <xf numFmtId="164" fontId="4" fillId="3" borderId="4" xfId="1" applyNumberFormat="1" applyFont="1" applyFill="1" applyBorder="1" applyAlignment="1">
      <alignment horizontal="left" vertical="top" wrapText="1"/>
    </xf>
    <xf numFmtId="165" fontId="4" fillId="4" borderId="5" xfId="2" applyNumberFormat="1" applyFont="1" applyFill="1" applyBorder="1" applyAlignment="1">
      <alignment horizontal="right" vertical="top"/>
    </xf>
    <xf numFmtId="164" fontId="4" fillId="2" borderId="0" xfId="1" applyNumberFormat="1" applyFont="1" applyFill="1" applyBorder="1" applyAlignment="1">
      <alignment horizontal="left" vertical="top" wrapText="1"/>
    </xf>
    <xf numFmtId="4" fontId="3" fillId="0" borderId="1" xfId="0" applyNumberFormat="1" applyFont="1" applyBorder="1" applyAlignment="1">
      <alignment vertical="top" wrapText="1"/>
    </xf>
    <xf numFmtId="164" fontId="3" fillId="2" borderId="1" xfId="1" applyNumberFormat="1" applyFont="1" applyFill="1" applyBorder="1" applyAlignment="1">
      <alignment vertical="top" wrapText="1"/>
    </xf>
    <xf numFmtId="164" fontId="3" fillId="0" borderId="1" xfId="1" applyNumberFormat="1" applyFont="1" applyBorder="1" applyAlignment="1">
      <alignment vertical="top" wrapText="1"/>
    </xf>
    <xf numFmtId="0" fontId="2" fillId="0" borderId="0" xfId="0" applyFont="1"/>
    <xf numFmtId="0" fontId="3" fillId="0" borderId="0" xfId="0" applyFont="1"/>
    <xf numFmtId="0" fontId="7" fillId="0" borderId="0" xfId="0" applyFont="1"/>
    <xf numFmtId="4" fontId="4" fillId="0" borderId="6" xfId="0" applyNumberFormat="1" applyFont="1" applyBorder="1" applyAlignment="1">
      <alignment horizontal="left" vertical="top" wrapText="1"/>
    </xf>
    <xf numFmtId="164" fontId="4" fillId="2" borderId="7" xfId="1" applyNumberFormat="1" applyFont="1" applyFill="1" applyBorder="1" applyAlignment="1">
      <alignment horizontal="left" vertical="top" wrapText="1"/>
    </xf>
    <xf numFmtId="164" fontId="4" fillId="0" borderId="7" xfId="1" applyNumberFormat="1" applyFont="1" applyBorder="1" applyAlignment="1">
      <alignment horizontal="left" vertical="top" wrapText="1"/>
    </xf>
    <xf numFmtId="164" fontId="4" fillId="3" borderId="7" xfId="1" applyNumberFormat="1" applyFont="1" applyFill="1" applyBorder="1" applyAlignment="1">
      <alignment horizontal="left" vertical="top" wrapText="1"/>
    </xf>
    <xf numFmtId="165" fontId="4" fillId="4" borderId="8" xfId="2" applyNumberFormat="1" applyFont="1" applyFill="1" applyBorder="1" applyAlignment="1">
      <alignment horizontal="right" vertical="top"/>
    </xf>
    <xf numFmtId="4" fontId="4" fillId="0" borderId="9" xfId="0" applyNumberFormat="1" applyFont="1" applyBorder="1" applyAlignment="1">
      <alignment horizontal="left" vertical="top" wrapText="1"/>
    </xf>
    <xf numFmtId="164" fontId="4" fillId="0" borderId="0" xfId="1" applyNumberFormat="1" applyFont="1" applyBorder="1" applyAlignment="1">
      <alignment horizontal="left" vertical="top" wrapText="1"/>
    </xf>
    <xf numFmtId="164" fontId="4" fillId="3" borderId="0" xfId="1" applyNumberFormat="1" applyFont="1" applyFill="1" applyBorder="1" applyAlignment="1">
      <alignment horizontal="left" vertical="top" wrapText="1"/>
    </xf>
    <xf numFmtId="164" fontId="4" fillId="4" borderId="10" xfId="1" applyNumberFormat="1" applyFont="1" applyFill="1" applyBorder="1" applyAlignment="1">
      <alignment horizontal="right" vertical="top"/>
    </xf>
    <xf numFmtId="4" fontId="4" fillId="0" borderId="11" xfId="0" applyNumberFormat="1" applyFont="1" applyBorder="1" applyAlignment="1">
      <alignment horizontal="left" vertical="top" wrapText="1"/>
    </xf>
    <xf numFmtId="164" fontId="3" fillId="4" borderId="10" xfId="1" applyNumberFormat="1" applyFont="1" applyFill="1" applyBorder="1" applyAlignment="1">
      <alignment vertical="top"/>
    </xf>
    <xf numFmtId="4" fontId="3" fillId="0" borderId="11" xfId="0" applyNumberFormat="1" applyFont="1" applyBorder="1" applyAlignment="1">
      <alignment horizontal="left" vertical="top" wrapText="1"/>
    </xf>
    <xf numFmtId="164" fontId="3" fillId="2" borderId="0" xfId="1" applyNumberFormat="1" applyFont="1" applyFill="1" applyBorder="1" applyAlignment="1">
      <alignment horizontal="left" vertical="top" wrapText="1"/>
    </xf>
    <xf numFmtId="164" fontId="3" fillId="0" borderId="0" xfId="1" applyNumberFormat="1" applyFont="1" applyBorder="1" applyAlignment="1">
      <alignment horizontal="left" vertical="top" wrapText="1"/>
    </xf>
    <xf numFmtId="164" fontId="3" fillId="3" borderId="0" xfId="1" applyNumberFormat="1" applyFont="1" applyFill="1" applyBorder="1" applyAlignment="1">
      <alignment horizontal="left" vertical="top" wrapText="1"/>
    </xf>
    <xf numFmtId="164" fontId="3" fillId="4" borderId="10" xfId="1" applyNumberFormat="1" applyFont="1" applyFill="1" applyBorder="1" applyAlignment="1">
      <alignment horizontal="right" vertical="top"/>
    </xf>
    <xf numFmtId="4" fontId="3" fillId="0" borderId="12" xfId="0" applyNumberFormat="1" applyFont="1" applyBorder="1" applyAlignment="1">
      <alignment horizontal="left" vertical="top" wrapText="1"/>
    </xf>
    <xf numFmtId="4" fontId="4" fillId="0" borderId="12" xfId="0" applyNumberFormat="1" applyFont="1" applyBorder="1" applyAlignment="1">
      <alignment horizontal="left" vertical="top" wrapText="1"/>
    </xf>
    <xf numFmtId="164" fontId="4" fillId="2" borderId="13" xfId="1" applyNumberFormat="1" applyFont="1" applyFill="1" applyBorder="1" applyAlignment="1">
      <alignment horizontal="left" vertical="top" wrapText="1"/>
    </xf>
    <xf numFmtId="164" fontId="4" fillId="0" borderId="13" xfId="1" applyNumberFormat="1" applyFont="1" applyBorder="1" applyAlignment="1">
      <alignment horizontal="left" vertical="top" wrapText="1"/>
    </xf>
    <xf numFmtId="164" fontId="4" fillId="3" borderId="13" xfId="1" applyNumberFormat="1" applyFont="1" applyFill="1" applyBorder="1" applyAlignment="1">
      <alignment horizontal="left" vertical="top" wrapText="1"/>
    </xf>
    <xf numFmtId="164" fontId="4" fillId="4" borderId="14" xfId="1" applyNumberFormat="1" applyFont="1" applyFill="1" applyBorder="1" applyAlignment="1">
      <alignment horizontal="right" vertical="top"/>
    </xf>
    <xf numFmtId="4" fontId="4" fillId="0" borderId="15" xfId="0" applyNumberFormat="1" applyFont="1" applyBorder="1" applyAlignment="1">
      <alignment horizontal="left" vertical="top" wrapText="1"/>
    </xf>
    <xf numFmtId="164" fontId="4" fillId="2" borderId="16" xfId="1" applyNumberFormat="1" applyFont="1" applyFill="1" applyBorder="1" applyAlignment="1">
      <alignment horizontal="left" vertical="top" wrapText="1"/>
    </xf>
    <xf numFmtId="164" fontId="4" fillId="0" borderId="16" xfId="1" applyNumberFormat="1" applyFont="1" applyBorder="1" applyAlignment="1">
      <alignment horizontal="left" vertical="top" wrapText="1"/>
    </xf>
    <xf numFmtId="164" fontId="4" fillId="3" borderId="16" xfId="1" applyNumberFormat="1" applyFont="1" applyFill="1" applyBorder="1" applyAlignment="1">
      <alignment horizontal="left" vertical="top" wrapText="1"/>
    </xf>
    <xf numFmtId="164" fontId="4" fillId="4" borderId="17" xfId="1" applyNumberFormat="1" applyFont="1" applyFill="1" applyBorder="1" applyAlignment="1">
      <alignment horizontal="right" vertical="top"/>
    </xf>
    <xf numFmtId="0" fontId="3" fillId="0" borderId="0" xfId="0" applyFont="1" applyAlignment="1">
      <alignment vertical="top" wrapText="1"/>
    </xf>
    <xf numFmtId="164" fontId="3" fillId="0" borderId="0" xfId="1" applyNumberFormat="1" applyFont="1" applyAlignment="1">
      <alignment vertical="top" wrapText="1"/>
    </xf>
    <xf numFmtId="165" fontId="3" fillId="0" borderId="0" xfId="2" applyNumberFormat="1" applyFont="1" applyAlignment="1">
      <alignment vertical="top"/>
    </xf>
    <xf numFmtId="165" fontId="0" fillId="0" borderId="0" xfId="2" applyNumberFormat="1" applyFont="1" applyAlignment="1">
      <alignment vertical="top"/>
    </xf>
    <xf numFmtId="0" fontId="9" fillId="5" borderId="11" xfId="0" applyFont="1" applyFill="1" applyBorder="1" applyAlignment="1">
      <alignment horizontal="right" vertical="top"/>
    </xf>
    <xf numFmtId="0" fontId="0" fillId="0" borderId="0" xfId="0" applyAlignment="1">
      <alignment vertical="top" wrapText="1"/>
    </xf>
    <xf numFmtId="0" fontId="11" fillId="0" borderId="0" xfId="0" applyFont="1"/>
    <xf numFmtId="0" fontId="14" fillId="0" borderId="0" xfId="0" applyFont="1"/>
    <xf numFmtId="0" fontId="15" fillId="0" borderId="0" xfId="0" applyFont="1"/>
    <xf numFmtId="0" fontId="10" fillId="0" borderId="0" xfId="0" applyFont="1"/>
    <xf numFmtId="164" fontId="0" fillId="2" borderId="0" xfId="1" applyNumberFormat="1" applyFont="1" applyFill="1" applyAlignment="1">
      <alignment vertical="top" wrapText="1"/>
    </xf>
    <xf numFmtId="165" fontId="16" fillId="0" borderId="0" xfId="2" applyNumberFormat="1" applyFont="1" applyFill="1" applyBorder="1" applyAlignment="1">
      <alignment horizontal="center" wrapText="1"/>
    </xf>
    <xf numFmtId="165" fontId="17" fillId="0" borderId="0" xfId="2" applyNumberFormat="1" applyFont="1" applyFill="1" applyBorder="1" applyAlignment="1">
      <alignment vertical="top"/>
    </xf>
    <xf numFmtId="165" fontId="16" fillId="0" borderId="0" xfId="2" applyNumberFormat="1" applyFont="1" applyFill="1" applyBorder="1" applyAlignment="1">
      <alignment horizontal="right" vertical="top"/>
    </xf>
    <xf numFmtId="164" fontId="16" fillId="0" borderId="0" xfId="1" applyNumberFormat="1" applyFont="1" applyFill="1" applyBorder="1" applyAlignment="1">
      <alignment horizontal="right" vertical="top"/>
    </xf>
    <xf numFmtId="164" fontId="17" fillId="0" borderId="0" xfId="1" applyNumberFormat="1" applyFont="1" applyFill="1" applyBorder="1" applyAlignment="1">
      <alignment vertical="top"/>
    </xf>
    <xf numFmtId="164" fontId="17" fillId="0" borderId="0" xfId="1" applyNumberFormat="1" applyFont="1" applyFill="1" applyBorder="1" applyAlignment="1">
      <alignment horizontal="right" vertical="top"/>
    </xf>
    <xf numFmtId="165" fontId="17" fillId="0" borderId="0" xfId="2" applyNumberFormat="1" applyFont="1" applyFill="1" applyAlignment="1">
      <alignment vertical="top"/>
    </xf>
    <xf numFmtId="165" fontId="14" fillId="0" borderId="0" xfId="2" applyNumberFormat="1" applyFont="1" applyFill="1" applyAlignment="1">
      <alignment vertical="top"/>
    </xf>
    <xf numFmtId="14" fontId="20" fillId="0" borderId="0" xfId="3" applyNumberFormat="1" applyFont="1" applyAlignment="1">
      <alignment horizontal="centerContinuous"/>
    </xf>
    <xf numFmtId="43" fontId="0" fillId="0" borderId="0" xfId="3" applyFont="1"/>
    <xf numFmtId="165" fontId="0" fillId="0" borderId="0" xfId="2" applyNumberFormat="1" applyFont="1"/>
    <xf numFmtId="165" fontId="0" fillId="0" borderId="0" xfId="2" applyNumberFormat="1" applyFont="1" applyAlignment="1">
      <alignment horizontal="centerContinuous"/>
    </xf>
    <xf numFmtId="43" fontId="0" fillId="0" borderId="0" xfId="3" applyFont="1" applyAlignment="1">
      <alignment horizontal="center"/>
    </xf>
    <xf numFmtId="44" fontId="0" fillId="0" borderId="0" xfId="2" applyFont="1"/>
    <xf numFmtId="0" fontId="4" fillId="0" borderId="19" xfId="0" applyFont="1" applyBorder="1" applyAlignment="1">
      <alignment vertical="center" wrapText="1"/>
    </xf>
    <xf numFmtId="43" fontId="4" fillId="0" borderId="19" xfId="3" applyFont="1" applyBorder="1" applyAlignment="1">
      <alignment vertical="center" wrapText="1"/>
    </xf>
    <xf numFmtId="165" fontId="4" fillId="0" borderId="19" xfId="2" applyNumberFormat="1" applyFont="1" applyBorder="1" applyAlignment="1">
      <alignment horizontal="center" vertical="center" wrapText="1"/>
    </xf>
    <xf numFmtId="43" fontId="4" fillId="0" borderId="19" xfId="3" applyFont="1" applyBorder="1" applyAlignment="1">
      <alignment horizontal="center" vertical="center" wrapText="1"/>
    </xf>
    <xf numFmtId="0" fontId="18" fillId="0" borderId="0" xfId="0" applyFont="1" applyAlignment="1">
      <alignment horizontal="center" vertical="center" wrapText="1"/>
    </xf>
    <xf numFmtId="0" fontId="0" fillId="0" borderId="0" xfId="0" applyAlignment="1">
      <alignment vertical="center" wrapText="1"/>
    </xf>
    <xf numFmtId="0" fontId="0" fillId="0" borderId="19" xfId="0" applyBorder="1"/>
    <xf numFmtId="43" fontId="0" fillId="0" borderId="19" xfId="3" applyFont="1" applyBorder="1"/>
    <xf numFmtId="165" fontId="0" fillId="0" borderId="19" xfId="2" applyNumberFormat="1" applyFont="1" applyBorder="1"/>
    <xf numFmtId="165" fontId="0" fillId="0" borderId="19" xfId="2" applyNumberFormat="1" applyFont="1" applyBorder="1" applyAlignment="1">
      <alignment vertical="center"/>
    </xf>
    <xf numFmtId="165" fontId="0" fillId="0" borderId="0" xfId="0" applyNumberFormat="1"/>
    <xf numFmtId="43" fontId="0" fillId="0" borderId="19" xfId="3" applyFont="1" applyBorder="1" applyAlignment="1">
      <alignment vertical="center"/>
    </xf>
    <xf numFmtId="43" fontId="3" fillId="0" borderId="19" xfId="3" applyFont="1" applyBorder="1"/>
    <xf numFmtId="0" fontId="21" fillId="0" borderId="0" xfId="0" applyFont="1"/>
    <xf numFmtId="43" fontId="0" fillId="0" borderId="18" xfId="3" applyFont="1" applyBorder="1"/>
    <xf numFmtId="165" fontId="0" fillId="0" borderId="18" xfId="2" applyNumberFormat="1" applyFont="1" applyBorder="1"/>
    <xf numFmtId="43" fontId="0" fillId="0" borderId="20" xfId="3" applyFont="1" applyBorder="1"/>
    <xf numFmtId="0" fontId="0" fillId="0" borderId="21" xfId="0" applyBorder="1"/>
    <xf numFmtId="0" fontId="22" fillId="5" borderId="0" xfId="0" applyFont="1" applyFill="1" applyAlignment="1">
      <alignment horizontal="left" vertical="top" wrapText="1"/>
    </xf>
    <xf numFmtId="164" fontId="22" fillId="2" borderId="0" xfId="1" applyNumberFormat="1" applyFont="1" applyFill="1" applyBorder="1" applyAlignment="1">
      <alignment horizontal="left" vertical="top" wrapText="1"/>
    </xf>
    <xf numFmtId="164" fontId="22" fillId="0" borderId="0" xfId="1" applyNumberFormat="1" applyFont="1" applyFill="1" applyBorder="1" applyAlignment="1">
      <alignment horizontal="left" vertical="top" wrapText="1"/>
    </xf>
    <xf numFmtId="164" fontId="22" fillId="5" borderId="0" xfId="1" applyNumberFormat="1" applyFont="1" applyFill="1" applyBorder="1" applyAlignment="1">
      <alignment horizontal="left" vertical="top" wrapText="1"/>
    </xf>
    <xf numFmtId="0" fontId="23" fillId="0" borderId="0" xfId="0" applyFont="1"/>
    <xf numFmtId="0" fontId="24" fillId="5" borderId="0" xfId="0" applyFont="1" applyFill="1" applyAlignment="1">
      <alignment horizontal="center" vertical="center" wrapText="1"/>
    </xf>
    <xf numFmtId="43" fontId="4" fillId="6" borderId="19" xfId="1" applyFont="1" applyFill="1" applyBorder="1" applyAlignment="1">
      <alignment horizontal="center" vertical="center" wrapText="1"/>
    </xf>
    <xf numFmtId="43" fontId="0" fillId="6" borderId="19" xfId="1" applyFont="1" applyFill="1" applyBorder="1"/>
    <xf numFmtId="43" fontId="17" fillId="0" borderId="0" xfId="1" applyFont="1" applyFill="1" applyBorder="1" applyAlignment="1">
      <alignment horizontal="right" vertical="top"/>
    </xf>
    <xf numFmtId="43" fontId="0" fillId="0" borderId="0" xfId="1" applyFont="1"/>
    <xf numFmtId="43" fontId="0" fillId="0" borderId="0" xfId="0" applyNumberFormat="1"/>
    <xf numFmtId="0" fontId="28" fillId="0" borderId="0" xfId="0" applyFont="1"/>
    <xf numFmtId="164" fontId="0" fillId="0" borderId="0" xfId="1" quotePrefix="1" applyNumberFormat="1" applyFont="1" applyAlignment="1">
      <alignment vertical="top"/>
    </xf>
    <xf numFmtId="0" fontId="5" fillId="5" borderId="11" xfId="0" applyFont="1" applyFill="1" applyBorder="1" applyAlignment="1">
      <alignment horizontal="right" vertical="top"/>
    </xf>
    <xf numFmtId="0" fontId="5" fillId="5" borderId="25" xfId="0" applyFont="1" applyFill="1" applyBorder="1" applyAlignment="1">
      <alignment horizontal="right" vertical="top"/>
    </xf>
    <xf numFmtId="0" fontId="0" fillId="0" borderId="18" xfId="0" applyBorder="1" applyAlignment="1">
      <alignment vertical="top" wrapText="1"/>
    </xf>
    <xf numFmtId="43" fontId="3" fillId="0" borderId="1" xfId="1" applyFont="1" applyBorder="1" applyAlignment="1">
      <alignment horizontal="left" vertical="top" wrapText="1"/>
    </xf>
    <xf numFmtId="164" fontId="11" fillId="0" borderId="0" xfId="0" applyNumberFormat="1" applyFont="1"/>
    <xf numFmtId="43" fontId="35" fillId="0" borderId="0" xfId="1" applyFont="1" applyAlignment="1">
      <alignment horizontal="right"/>
    </xf>
    <xf numFmtId="43" fontId="36" fillId="0" borderId="0" xfId="1" applyFont="1" applyAlignment="1">
      <alignment horizontal="right"/>
    </xf>
    <xf numFmtId="165" fontId="0" fillId="7" borderId="19" xfId="2" applyNumberFormat="1" applyFont="1" applyFill="1" applyBorder="1" applyAlignment="1">
      <alignment vertical="center"/>
    </xf>
    <xf numFmtId="165" fontId="0" fillId="7" borderId="0" xfId="0" applyNumberFormat="1" applyFill="1"/>
    <xf numFmtId="0" fontId="37" fillId="0" borderId="1" xfId="0" applyFont="1" applyBorder="1" applyAlignment="1">
      <alignment horizontal="left" vertical="top" wrapText="1"/>
    </xf>
    <xf numFmtId="164" fontId="37" fillId="2" borderId="1" xfId="1" applyNumberFormat="1" applyFont="1" applyFill="1" applyBorder="1" applyAlignment="1">
      <alignment horizontal="left" vertical="top" wrapText="1"/>
    </xf>
    <xf numFmtId="164" fontId="37" fillId="0" borderId="1" xfId="1" applyNumberFormat="1" applyFont="1" applyBorder="1" applyAlignment="1">
      <alignment horizontal="left" vertical="top" wrapText="1"/>
    </xf>
    <xf numFmtId="164" fontId="37" fillId="3" borderId="1" xfId="1" applyNumberFormat="1" applyFont="1" applyFill="1" applyBorder="1" applyAlignment="1">
      <alignment horizontal="left" vertical="top" wrapText="1"/>
    </xf>
    <xf numFmtId="165" fontId="37" fillId="4" borderId="1" xfId="2" applyNumberFormat="1" applyFont="1" applyFill="1" applyBorder="1" applyAlignment="1">
      <alignment vertical="top"/>
    </xf>
    <xf numFmtId="44" fontId="0" fillId="0" borderId="0" xfId="0" applyNumberFormat="1"/>
    <xf numFmtId="9" fontId="17" fillId="0" borderId="0" xfId="6" applyFont="1" applyFill="1" applyBorder="1" applyAlignment="1">
      <alignment vertical="top"/>
    </xf>
    <xf numFmtId="164" fontId="0" fillId="0" borderId="0" xfId="1" quotePrefix="1" applyNumberFormat="1" applyFont="1" applyFill="1" applyAlignment="1">
      <alignment vertical="top"/>
    </xf>
    <xf numFmtId="164" fontId="0" fillId="0" borderId="0" xfId="1" applyNumberFormat="1" applyFont="1" applyFill="1" applyAlignment="1">
      <alignment vertical="top" wrapText="1"/>
    </xf>
    <xf numFmtId="165" fontId="0" fillId="0" borderId="0" xfId="2" applyNumberFormat="1" applyFont="1" applyFill="1" applyAlignment="1">
      <alignment vertical="top"/>
    </xf>
    <xf numFmtId="164" fontId="27" fillId="0" borderId="0" xfId="1" quotePrefix="1" applyNumberFormat="1" applyFont="1" applyFill="1" applyAlignment="1">
      <alignment vertical="top"/>
    </xf>
    <xf numFmtId="4" fontId="3" fillId="0" borderId="1" xfId="0" applyNumberFormat="1" applyFont="1" applyBorder="1" applyAlignment="1">
      <alignment horizontal="left" vertical="top" wrapText="1" indent="3"/>
    </xf>
    <xf numFmtId="43" fontId="17" fillId="0" borderId="0" xfId="1" applyFont="1" applyFill="1" applyBorder="1" applyAlignment="1">
      <alignment vertical="top"/>
    </xf>
    <xf numFmtId="4" fontId="37" fillId="0" borderId="1" xfId="0" applyNumberFormat="1" applyFont="1" applyBorder="1" applyAlignment="1">
      <alignment horizontal="left" vertical="top" wrapText="1" indent="3"/>
    </xf>
    <xf numFmtId="43" fontId="0" fillId="7" borderId="19" xfId="3" applyFont="1" applyFill="1" applyBorder="1"/>
    <xf numFmtId="165" fontId="0" fillId="0" borderId="0" xfId="2" applyNumberFormat="1" applyFont="1" applyBorder="1" applyAlignment="1">
      <alignment vertical="top"/>
    </xf>
    <xf numFmtId="165" fontId="14" fillId="0" borderId="0" xfId="2" applyNumberFormat="1" applyFont="1" applyFill="1" applyBorder="1" applyAlignment="1">
      <alignment vertical="top"/>
    </xf>
    <xf numFmtId="165" fontId="0" fillId="0" borderId="0" xfId="2" applyNumberFormat="1" applyFont="1" applyFill="1" applyBorder="1" applyAlignment="1">
      <alignment vertical="top"/>
    </xf>
    <xf numFmtId="165" fontId="38" fillId="0" borderId="0" xfId="2" applyNumberFormat="1" applyFont="1" applyFill="1" applyBorder="1" applyAlignment="1">
      <alignment vertical="top"/>
    </xf>
    <xf numFmtId="0" fontId="32" fillId="0" borderId="22" xfId="5" applyFont="1" applyAlignment="1">
      <alignment horizontal="center" wrapText="1"/>
    </xf>
    <xf numFmtId="0" fontId="11" fillId="0" borderId="0" xfId="0" quotePrefix="1" applyFont="1"/>
    <xf numFmtId="0" fontId="33" fillId="0" borderId="0" xfId="0" applyFont="1" applyAlignment="1">
      <alignment horizontal="left" wrapText="1"/>
    </xf>
    <xf numFmtId="0" fontId="33" fillId="0" borderId="0" xfId="0" applyFont="1" applyAlignment="1">
      <alignment horizontal="left" wrapText="1" indent="1"/>
    </xf>
    <xf numFmtId="4" fontId="33" fillId="0" borderId="0" xfId="0" applyNumberFormat="1" applyFont="1" applyAlignment="1">
      <alignment wrapText="1"/>
    </xf>
    <xf numFmtId="0" fontId="33" fillId="0" borderId="0" xfId="0" applyFont="1" applyAlignment="1">
      <alignment horizontal="left" wrapText="1" indent="2"/>
    </xf>
    <xf numFmtId="0" fontId="34" fillId="0" borderId="0" xfId="0" applyFont="1" applyAlignment="1">
      <alignment horizontal="left" wrapText="1" indent="1"/>
    </xf>
    <xf numFmtId="166" fontId="34" fillId="0" borderId="26" xfId="0" applyNumberFormat="1" applyFont="1" applyBorder="1" applyAlignment="1">
      <alignment wrapText="1"/>
    </xf>
    <xf numFmtId="0" fontId="34" fillId="0" borderId="0" xfId="0" applyFont="1" applyAlignment="1">
      <alignment horizontal="left" wrapText="1"/>
    </xf>
    <xf numFmtId="0" fontId="33" fillId="0" borderId="0" xfId="0" applyFont="1" applyAlignment="1">
      <alignment wrapText="1"/>
    </xf>
    <xf numFmtId="164" fontId="0" fillId="0" borderId="23" xfId="1" applyNumberFormat="1" applyFont="1" applyBorder="1" applyAlignment="1">
      <alignment horizontal="center" vertical="top" wrapText="1"/>
    </xf>
    <xf numFmtId="164" fontId="0" fillId="0" borderId="24" xfId="1" applyNumberFormat="1" applyFont="1" applyBorder="1" applyAlignment="1">
      <alignment horizontal="center" vertical="top" wrapText="1"/>
    </xf>
    <xf numFmtId="0" fontId="27" fillId="0" borderId="18" xfId="0" applyFont="1" applyBorder="1" applyAlignment="1">
      <alignment horizontal="center" vertical="top" wrapText="1"/>
    </xf>
    <xf numFmtId="0" fontId="27" fillId="0" borderId="23" xfId="0" applyFont="1" applyBorder="1" applyAlignment="1">
      <alignment horizontal="center" vertical="top" wrapText="1"/>
    </xf>
    <xf numFmtId="0" fontId="27" fillId="0" borderId="24" xfId="0" applyFont="1" applyBorder="1" applyAlignment="1">
      <alignment horizontal="center" vertical="top" wrapText="1"/>
    </xf>
    <xf numFmtId="165" fontId="10" fillId="5" borderId="0" xfId="2" applyNumberFormat="1" applyFont="1" applyFill="1" applyBorder="1" applyAlignment="1">
      <alignment horizontal="center" vertical="top"/>
    </xf>
    <xf numFmtId="165" fontId="10" fillId="5" borderId="10" xfId="2" applyNumberFormat="1" applyFont="1" applyFill="1" applyBorder="1" applyAlignment="1">
      <alignment horizontal="center" vertical="top"/>
    </xf>
    <xf numFmtId="0" fontId="29" fillId="0" borderId="0" xfId="0" applyFont="1" applyAlignment="1">
      <alignment horizontal="center" wrapText="1"/>
    </xf>
    <xf numFmtId="0" fontId="0" fillId="0" borderId="0" xfId="0" applyAlignment="1">
      <alignment wrapText="1"/>
    </xf>
    <xf numFmtId="0" fontId="30" fillId="0" borderId="0" xfId="0" applyFont="1" applyAlignment="1">
      <alignment horizontal="center" wrapText="1"/>
    </xf>
    <xf numFmtId="0" fontId="31" fillId="0" borderId="0" xfId="0" applyFont="1" applyAlignment="1">
      <alignment horizontal="center" wrapText="1"/>
    </xf>
    <xf numFmtId="0" fontId="33" fillId="0" borderId="0" xfId="0" applyFont="1" applyAlignment="1">
      <alignment horizontal="center" wrapText="1"/>
    </xf>
  </cellXfs>
  <cellStyles count="10">
    <cellStyle name="Comma" xfId="1" builtinId="3"/>
    <cellStyle name="Comma 2" xfId="3" xr:uid="{D31ED594-9EE2-49BD-9B22-B63D85872D0A}"/>
    <cellStyle name="Currency" xfId="2" builtinId="4"/>
    <cellStyle name="GroupedCellStyle" xfId="8" xr:uid="{090CC2DC-968B-4CF1-B344-AFCC465E1A4A}"/>
    <cellStyle name="HeaderCellStyle" xfId="5" xr:uid="{C686C468-229D-4F40-8815-D17A9670D701}"/>
    <cellStyle name="Normal" xfId="0" builtinId="0"/>
    <cellStyle name="Normal 2" xfId="4" xr:uid="{916DE9D9-2DAA-4BC9-8E67-6514FD25625F}"/>
    <cellStyle name="Normal 3" xfId="7" xr:uid="{253D2B83-F0E7-478B-9C57-F3EDD9330F65}"/>
    <cellStyle name="Percent" xfId="6" builtinId="5"/>
    <cellStyle name="TotalCellStyle" xfId="9" xr:uid="{E569C87E-F969-485F-B26C-CA73C6B045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57150</xdr:colOff>
      <xdr:row>91</xdr:row>
      <xdr:rowOff>190498</xdr:rowOff>
    </xdr:from>
    <xdr:to>
      <xdr:col>15</xdr:col>
      <xdr:colOff>504825</xdr:colOff>
      <xdr:row>104</xdr:row>
      <xdr:rowOff>28575</xdr:rowOff>
    </xdr:to>
    <xdr:sp macro="" textlink="">
      <xdr:nvSpPr>
        <xdr:cNvPr id="3" name="TextBox 2">
          <a:extLst>
            <a:ext uri="{FF2B5EF4-FFF2-40B4-BE49-F238E27FC236}">
              <a16:creationId xmlns:a16="http://schemas.microsoft.com/office/drawing/2014/main" id="{9FB60EBC-80B3-4A85-AE41-F68A65F030C0}"/>
            </a:ext>
          </a:extLst>
        </xdr:cNvPr>
        <xdr:cNvSpPr txBox="1"/>
      </xdr:nvSpPr>
      <xdr:spPr>
        <a:xfrm>
          <a:off x="57150" y="16182973"/>
          <a:ext cx="9820275" cy="2124077"/>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Treasurer General Notes:</a:t>
          </a:r>
        </a:p>
        <a:p>
          <a:pPr marL="171450" indent="-171450">
            <a:buFont typeface="Arial" panose="020B0604020202020204" pitchFamily="34" charset="0"/>
            <a:buChar char="•"/>
          </a:pPr>
          <a:r>
            <a:rPr lang="en-US" sz="1100"/>
            <a:t>Each</a:t>
          </a:r>
          <a:r>
            <a:rPr lang="en-US" sz="1100" baseline="0"/>
            <a:t> year should ideally end with no less than $7000 in the checking account, mostly to cover the school supplies purchased over the summer by the school supply coordinator and the teacher reimbursements that come in as soon as school begins. Beaverton Christian Church gives us a donation each fall roughly around $7000 to help pay for those student school supplies. HOWEVER, they let us know in 2023 that they may not be able to do this much longer so we need to be prepared to cover that amount ourselves and they usually don't give us the check until late sept/early October. </a:t>
          </a:r>
        </a:p>
        <a:p>
          <a:pPr marL="171450" indent="-171450">
            <a:buFont typeface="Arial" panose="020B0604020202020204" pitchFamily="34" charset="0"/>
            <a:buChar char="•"/>
          </a:pPr>
          <a:r>
            <a:rPr lang="en-US" sz="1100" baseline="0"/>
            <a:t>The amount we spend/budget for library expenses is determined by the previous years book fair proceeds/Mrs. Donnelly.  We "hold" the proceeds for her and it becomes her budget for the next year. For example, if we make $5000 from one of the fairs, scholastic will send us a bill for how much we owe them out of our proceeds and then the remaining proceeds are divided into a Scholastic Spending Credit for Mrs. Donnelly to buy books from them,  and then the remainder we get to hold onto in cash, which then becomes part of the library budget for the following year.  In the 22/23 year she requested $1500 cash proceeds from scholastic from each book fair for a total of $3000. This is a "use it or lose it" category... if she doesn't spend it all by the end of the year, its gone and does not roll over to the next year. </a:t>
          </a:r>
        </a:p>
        <a:p>
          <a:pPr marL="171450" indent="-171450">
            <a:buFont typeface="Arial" panose="020B0604020202020204" pitchFamily="34" charset="0"/>
            <a:buChar char="•"/>
          </a:pPr>
          <a:r>
            <a:rPr lang="en-US" sz="1100" baseline="0"/>
            <a:t>Monthly first Wednesday staff appreciation max reimbursement is $125 - approved by the board in May 2025 as part of the budget meeting.</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A824A-C115-4569-8037-EA9A385FA1FB}">
  <sheetPr>
    <pageSetUpPr fitToPage="1"/>
  </sheetPr>
  <dimension ref="A3:V93"/>
  <sheetViews>
    <sheetView tabSelected="1" workbookViewId="0">
      <pane ySplit="3" topLeftCell="A4" activePane="bottomLeft" state="frozen"/>
      <selection pane="bottomLeft" activeCell="K85" sqref="K85"/>
    </sheetView>
  </sheetViews>
  <sheetFormatPr defaultRowHeight="15" x14ac:dyDescent="0.25"/>
  <cols>
    <col min="1" max="1" width="40.85546875" style="69" customWidth="1"/>
    <col min="2" max="2" width="6.85546875" style="16" customWidth="1"/>
    <col min="3" max="3" width="8.85546875" style="16" customWidth="1"/>
    <col min="4" max="4" width="7.42578125" style="16" bestFit="1" customWidth="1"/>
    <col min="5" max="6" width="8" style="16" customWidth="1"/>
    <col min="7" max="7" width="6.42578125" style="16" bestFit="1" customWidth="1"/>
    <col min="8" max="10" width="6.7109375" style="16" customWidth="1"/>
    <col min="11" max="11" width="8.7109375" style="16" customWidth="1"/>
    <col min="12" max="12" width="7.42578125" style="16" bestFit="1" customWidth="1"/>
    <col min="13" max="13" width="10.5703125" style="16" customWidth="1"/>
    <col min="14" max="14" width="8" style="16" customWidth="1"/>
    <col min="15" max="15" width="9" style="67" bestFit="1" customWidth="1"/>
    <col min="16" max="16" width="12.28515625" style="82" customWidth="1"/>
    <col min="17" max="17" width="12" style="82" customWidth="1"/>
    <col min="18" max="18" width="10.5703125" bestFit="1" customWidth="1"/>
    <col min="20" max="20" width="10.5703125" bestFit="1" customWidth="1"/>
    <col min="21" max="21" width="11.28515625" customWidth="1"/>
  </cols>
  <sheetData>
    <row r="3" spans="1:22" s="5" customFormat="1" ht="36.75" x14ac:dyDescent="0.25">
      <c r="A3" s="1"/>
      <c r="B3" s="2" t="s">
        <v>0</v>
      </c>
      <c r="C3" s="2" t="s">
        <v>1</v>
      </c>
      <c r="D3" s="2" t="s">
        <v>2</v>
      </c>
      <c r="E3" s="2" t="s">
        <v>3</v>
      </c>
      <c r="F3" s="2" t="s">
        <v>4</v>
      </c>
      <c r="G3" s="2" t="s">
        <v>5</v>
      </c>
      <c r="H3" s="2" t="s">
        <v>6</v>
      </c>
      <c r="I3" s="2" t="s">
        <v>7</v>
      </c>
      <c r="J3" s="2" t="s">
        <v>8</v>
      </c>
      <c r="K3" s="2" t="s">
        <v>9</v>
      </c>
      <c r="L3" s="2" t="s">
        <v>10</v>
      </c>
      <c r="M3" s="2" t="s">
        <v>11</v>
      </c>
      <c r="N3" s="3" t="s">
        <v>12</v>
      </c>
      <c r="O3" s="4" t="s">
        <v>13</v>
      </c>
      <c r="P3" s="75" t="s">
        <v>14</v>
      </c>
      <c r="Q3" s="75"/>
    </row>
    <row r="4" spans="1:22" x14ac:dyDescent="0.25">
      <c r="A4" s="6" t="s">
        <v>15</v>
      </c>
      <c r="B4" s="7"/>
      <c r="C4" s="8"/>
      <c r="D4" s="7"/>
      <c r="E4" s="8"/>
      <c r="F4" s="7"/>
      <c r="G4" s="8"/>
      <c r="H4" s="7"/>
      <c r="I4" s="8"/>
      <c r="J4" s="7"/>
      <c r="K4" s="8"/>
      <c r="L4" s="7"/>
      <c r="M4" s="8"/>
      <c r="N4" s="9"/>
      <c r="O4" s="10"/>
      <c r="P4" s="76"/>
      <c r="Q4" s="76"/>
    </row>
    <row r="5" spans="1:22" x14ac:dyDescent="0.25">
      <c r="A5" s="12" t="s">
        <v>16</v>
      </c>
      <c r="B5" s="13"/>
      <c r="C5" s="14"/>
      <c r="D5" s="13"/>
      <c r="E5" s="14"/>
      <c r="F5" s="13">
        <v>498.8</v>
      </c>
      <c r="G5" s="14">
        <f>48.51</f>
        <v>48.51</v>
      </c>
      <c r="H5" s="13"/>
      <c r="I5" s="14"/>
      <c r="J5" s="13">
        <f>196+114.49+118+20.38+800.1</f>
        <v>1248.97</v>
      </c>
      <c r="K5" s="14">
        <f>335.5</f>
        <v>335.5</v>
      </c>
      <c r="L5" s="13">
        <f>479</f>
        <v>479</v>
      </c>
      <c r="M5" s="14"/>
      <c r="N5" s="15">
        <f>SUM(B5:M5)</f>
        <v>2610.7800000000002</v>
      </c>
      <c r="O5" s="10">
        <v>0</v>
      </c>
      <c r="P5" s="76"/>
      <c r="Q5" s="76"/>
      <c r="R5" s="134"/>
    </row>
    <row r="6" spans="1:22" x14ac:dyDescent="0.25">
      <c r="A6" s="12" t="s">
        <v>17</v>
      </c>
      <c r="B6" s="13"/>
      <c r="C6" s="14"/>
      <c r="D6" s="13"/>
      <c r="E6" s="14"/>
      <c r="F6" s="13">
        <f>1382.31-166.09</f>
        <v>1216.22</v>
      </c>
      <c r="G6" s="14"/>
      <c r="H6" s="13"/>
      <c r="I6" s="14"/>
      <c r="J6" s="13"/>
      <c r="K6" s="14">
        <f>2197.73-1110.42</f>
        <v>1087.31</v>
      </c>
      <c r="L6" s="13"/>
      <c r="M6" s="14"/>
      <c r="N6" s="15">
        <f t="shared" ref="N6:N14" si="0">SUM(B6:M6)</f>
        <v>2303.5299999999997</v>
      </c>
      <c r="O6" s="10">
        <v>2500</v>
      </c>
      <c r="P6" s="76"/>
      <c r="Q6" s="76"/>
    </row>
    <row r="7" spans="1:22" x14ac:dyDescent="0.25">
      <c r="A7" s="12" t="s">
        <v>18</v>
      </c>
      <c r="B7" s="13"/>
      <c r="C7" s="14"/>
      <c r="D7" s="13">
        <v>850</v>
      </c>
      <c r="E7" s="14"/>
      <c r="F7" s="13">
        <v>650</v>
      </c>
      <c r="G7" s="14"/>
      <c r="H7" s="13">
        <v>375</v>
      </c>
      <c r="I7" s="16">
        <v>500</v>
      </c>
      <c r="J7" s="13">
        <v>300</v>
      </c>
      <c r="K7" s="14"/>
      <c r="L7" s="13">
        <v>400</v>
      </c>
      <c r="M7" s="14"/>
      <c r="N7" s="15">
        <f t="shared" si="0"/>
        <v>3075</v>
      </c>
      <c r="O7" s="10">
        <v>2300</v>
      </c>
      <c r="P7" s="76"/>
      <c r="Q7" s="141"/>
      <c r="R7" s="99"/>
      <c r="S7" s="99"/>
      <c r="T7" s="134"/>
    </row>
    <row r="8" spans="1:22" x14ac:dyDescent="0.25">
      <c r="A8" s="12" t="s">
        <v>19</v>
      </c>
      <c r="B8" s="13"/>
      <c r="C8" s="14"/>
      <c r="D8" s="13"/>
      <c r="E8" s="14"/>
      <c r="F8" s="13"/>
      <c r="G8" s="14"/>
      <c r="H8" s="13">
        <v>80.3</v>
      </c>
      <c r="I8" s="14"/>
      <c r="J8" s="13"/>
      <c r="K8" s="14">
        <v>53.6</v>
      </c>
      <c r="L8" s="13"/>
      <c r="M8" s="14"/>
      <c r="N8" s="15">
        <f t="shared" si="0"/>
        <v>133.9</v>
      </c>
      <c r="O8" s="10">
        <v>100</v>
      </c>
      <c r="P8" s="76"/>
      <c r="Q8" s="76"/>
    </row>
    <row r="9" spans="1:22" x14ac:dyDescent="0.25">
      <c r="A9" s="12" t="s">
        <v>20</v>
      </c>
      <c r="B9" s="13"/>
      <c r="C9" s="14"/>
      <c r="D9" s="13"/>
      <c r="E9" s="17">
        <f>36681.97+635+539.52+367.5</f>
        <v>38223.99</v>
      </c>
      <c r="F9" s="13">
        <f>2859.01-122.01+168.65+2628.64</f>
        <v>5534.29</v>
      </c>
      <c r="G9" s="14">
        <f>19.41+100</f>
        <v>119.41</v>
      </c>
      <c r="H9" s="13"/>
      <c r="I9" s="14"/>
      <c r="J9" s="13"/>
      <c r="K9" s="14"/>
      <c r="L9" s="13"/>
      <c r="M9" s="14"/>
      <c r="N9" s="15">
        <f>SUM(B9:M9)</f>
        <v>43877.69</v>
      </c>
      <c r="O9" s="10">
        <v>26000</v>
      </c>
      <c r="P9" s="76"/>
      <c r="Q9" s="76"/>
    </row>
    <row r="10" spans="1:22" x14ac:dyDescent="0.25">
      <c r="A10" s="12" t="s">
        <v>21</v>
      </c>
      <c r="B10" s="13"/>
      <c r="C10" s="14"/>
      <c r="D10" s="13">
        <v>100</v>
      </c>
      <c r="E10" s="14">
        <f>250+817.36</f>
        <v>1067.3600000000001</v>
      </c>
      <c r="F10" s="13">
        <f>1000+125</f>
        <v>1125</v>
      </c>
      <c r="G10" s="14">
        <f>117.52+197.52+24.28</f>
        <v>339.32000000000005</v>
      </c>
      <c r="H10" s="13">
        <f>500+25</f>
        <v>525</v>
      </c>
      <c r="I10" s="14"/>
      <c r="J10" s="13"/>
      <c r="K10" s="14">
        <v>24.28</v>
      </c>
      <c r="L10" s="13">
        <v>95</v>
      </c>
      <c r="M10" s="14">
        <v>70</v>
      </c>
      <c r="N10" s="15">
        <f t="shared" si="0"/>
        <v>3345.9600000000005</v>
      </c>
      <c r="O10" s="10">
        <v>500</v>
      </c>
      <c r="P10" s="76"/>
      <c r="Q10" s="76"/>
      <c r="R10" s="117"/>
    </row>
    <row r="11" spans="1:22" x14ac:dyDescent="0.25">
      <c r="A11" s="12" t="s">
        <v>22</v>
      </c>
      <c r="B11" s="13"/>
      <c r="C11" s="14"/>
      <c r="D11" s="13"/>
      <c r="E11" s="14"/>
      <c r="F11" s="13"/>
      <c r="G11" s="14">
        <f>41+114.11</f>
        <v>155.11000000000001</v>
      </c>
      <c r="H11" s="13"/>
      <c r="I11" s="14"/>
      <c r="J11" s="13"/>
      <c r="K11" s="14"/>
      <c r="L11" s="13"/>
      <c r="M11" s="14"/>
      <c r="N11" s="15">
        <f t="shared" si="0"/>
        <v>155.11000000000001</v>
      </c>
      <c r="O11" s="10">
        <v>600</v>
      </c>
      <c r="P11" s="76"/>
      <c r="Q11" s="76"/>
    </row>
    <row r="12" spans="1:22" x14ac:dyDescent="0.25">
      <c r="A12" s="12" t="s">
        <v>23</v>
      </c>
      <c r="B12" s="13"/>
      <c r="C12" s="14"/>
      <c r="D12" s="13"/>
      <c r="E12" s="14">
        <f>170.31</f>
        <v>170.31</v>
      </c>
      <c r="F12" s="13"/>
      <c r="G12" s="14">
        <f>182.8</f>
        <v>182.8</v>
      </c>
      <c r="H12" s="13">
        <f>200.7+485.42</f>
        <v>686.12</v>
      </c>
      <c r="J12" s="13">
        <v>407</v>
      </c>
      <c r="K12" s="14">
        <f>59.21</f>
        <v>59.21</v>
      </c>
      <c r="L12" s="13">
        <f>107.96+1590.73</f>
        <v>1698.69</v>
      </c>
      <c r="M12" s="14">
        <f>234.49+240.18</f>
        <v>474.67</v>
      </c>
      <c r="N12" s="15">
        <f t="shared" si="0"/>
        <v>3678.8</v>
      </c>
      <c r="O12" s="10">
        <v>3500</v>
      </c>
      <c r="P12" s="76"/>
      <c r="Q12" s="135"/>
    </row>
    <row r="13" spans="1:22" x14ac:dyDescent="0.25">
      <c r="A13" s="18" t="s">
        <v>24</v>
      </c>
      <c r="B13" s="13"/>
      <c r="C13" s="14"/>
      <c r="D13" s="13">
        <f>122.38</f>
        <v>122.38</v>
      </c>
      <c r="E13" s="14"/>
      <c r="F13" s="13">
        <v>122.01</v>
      </c>
      <c r="G13" s="14"/>
      <c r="H13" s="13">
        <v>120.88</v>
      </c>
      <c r="I13" s="14"/>
      <c r="J13" s="13"/>
      <c r="K13" s="14"/>
      <c r="L13" s="13">
        <v>138.22999999999999</v>
      </c>
      <c r="M13" s="14"/>
      <c r="N13" s="15">
        <f t="shared" si="0"/>
        <v>503.5</v>
      </c>
      <c r="O13" s="10">
        <v>450</v>
      </c>
      <c r="P13" s="76"/>
      <c r="Q13" s="76"/>
      <c r="R13" s="19"/>
      <c r="S13" s="19"/>
      <c r="T13" s="19"/>
      <c r="V13" s="19"/>
    </row>
    <row r="14" spans="1:22" x14ac:dyDescent="0.25">
      <c r="A14" s="12" t="s">
        <v>25</v>
      </c>
      <c r="B14" s="13"/>
      <c r="C14" s="14"/>
      <c r="D14" s="13">
        <f>477.81+8000</f>
        <v>8477.81</v>
      </c>
      <c r="E14" s="14"/>
      <c r="F14" s="13"/>
      <c r="G14" s="14"/>
      <c r="H14" s="13"/>
      <c r="I14" s="14"/>
      <c r="J14" s="13"/>
      <c r="K14" s="14"/>
      <c r="L14" s="13"/>
      <c r="M14" s="14"/>
      <c r="N14" s="15">
        <f t="shared" si="0"/>
        <v>8477.81</v>
      </c>
      <c r="O14" s="10">
        <v>7000</v>
      </c>
      <c r="P14" s="76"/>
      <c r="Q14" s="76"/>
      <c r="R14" s="116"/>
    </row>
    <row r="15" spans="1:22" x14ac:dyDescent="0.25">
      <c r="A15" s="12" t="s">
        <v>26</v>
      </c>
      <c r="B15" s="13"/>
      <c r="C15" s="14"/>
      <c r="D15" s="13">
        <v>75</v>
      </c>
      <c r="E15" s="17">
        <f>19.11+10</f>
        <v>29.11</v>
      </c>
      <c r="F15" s="13">
        <v>20</v>
      </c>
      <c r="G15" s="14">
        <f>20+20</f>
        <v>40</v>
      </c>
      <c r="H15" s="13">
        <f>19.11+20</f>
        <v>39.11</v>
      </c>
      <c r="I15" s="14">
        <v>60</v>
      </c>
      <c r="J15" s="13">
        <f>89.11+20</f>
        <v>109.11</v>
      </c>
      <c r="K15" s="14">
        <v>280.54000000000002</v>
      </c>
      <c r="L15" s="13">
        <v>179.11</v>
      </c>
      <c r="M15" s="14">
        <v>40</v>
      </c>
      <c r="N15" s="15">
        <f>SUM(B15:M15)</f>
        <v>871.98000000000013</v>
      </c>
      <c r="O15" s="10">
        <v>700</v>
      </c>
      <c r="P15" s="76"/>
      <c r="Q15" s="76"/>
      <c r="S15" s="117"/>
    </row>
    <row r="16" spans="1:22" ht="15.75" thickBot="1" x14ac:dyDescent="0.3">
      <c r="A16" s="20"/>
      <c r="B16" s="21"/>
      <c r="C16" s="22"/>
      <c r="D16" s="21"/>
      <c r="E16" s="22"/>
      <c r="F16" s="21"/>
      <c r="G16" s="22"/>
      <c r="H16" s="21"/>
      <c r="I16" s="22"/>
      <c r="J16" s="21"/>
      <c r="K16" s="22"/>
      <c r="L16" s="21"/>
      <c r="M16" s="22"/>
      <c r="N16" s="23"/>
      <c r="O16" s="24"/>
      <c r="P16" s="76"/>
      <c r="Q16" s="76"/>
    </row>
    <row r="17" spans="1:21" ht="15.75" thickBot="1" x14ac:dyDescent="0.3">
      <c r="A17" s="25" t="s">
        <v>27</v>
      </c>
      <c r="B17" s="26">
        <f t="shared" ref="B17:M17" si="1">SUM(B4:B16)</f>
        <v>0</v>
      </c>
      <c r="C17" s="27">
        <f t="shared" si="1"/>
        <v>0</v>
      </c>
      <c r="D17" s="26">
        <f t="shared" si="1"/>
        <v>9625.1899999999987</v>
      </c>
      <c r="E17" s="27">
        <f t="shared" si="1"/>
        <v>39490.769999999997</v>
      </c>
      <c r="F17" s="26">
        <f t="shared" si="1"/>
        <v>9166.32</v>
      </c>
      <c r="G17" s="27">
        <f t="shared" si="1"/>
        <v>885.15000000000009</v>
      </c>
      <c r="H17" s="26">
        <f t="shared" si="1"/>
        <v>1826.41</v>
      </c>
      <c r="I17" s="27">
        <f t="shared" si="1"/>
        <v>560</v>
      </c>
      <c r="J17" s="26">
        <f t="shared" si="1"/>
        <v>2065.08</v>
      </c>
      <c r="K17" s="27">
        <f t="shared" si="1"/>
        <v>1840.4399999999998</v>
      </c>
      <c r="L17" s="26">
        <f t="shared" si="1"/>
        <v>2990.03</v>
      </c>
      <c r="M17" s="27">
        <f t="shared" si="1"/>
        <v>584.67000000000007</v>
      </c>
      <c r="N17" s="28">
        <f>SUM(N5:N16)</f>
        <v>69034.06</v>
      </c>
      <c r="O17" s="29">
        <f>SUM(O5:O16)</f>
        <v>43650</v>
      </c>
      <c r="P17" s="77"/>
      <c r="Q17" s="77"/>
      <c r="S17" s="99"/>
      <c r="U17" s="99"/>
    </row>
    <row r="18" spans="1:21" s="111" customFormat="1" ht="29.25" customHeight="1" x14ac:dyDescent="0.25">
      <c r="A18" s="107" t="s">
        <v>28</v>
      </c>
      <c r="B18" s="108"/>
      <c r="C18" s="109"/>
      <c r="D18" s="108"/>
      <c r="E18" s="110"/>
      <c r="F18" s="108"/>
      <c r="G18" s="110"/>
      <c r="H18" s="108"/>
      <c r="I18" s="110"/>
      <c r="J18" s="108"/>
      <c r="K18" s="110"/>
      <c r="L18" s="108"/>
      <c r="M18" s="110"/>
      <c r="N18" s="110"/>
      <c r="O18" s="112" t="s">
        <v>29</v>
      </c>
      <c r="P18" s="75" t="s">
        <v>30</v>
      </c>
      <c r="Q18" s="112" t="s">
        <v>31</v>
      </c>
    </row>
    <row r="19" spans="1:21" x14ac:dyDescent="0.25">
      <c r="A19" s="12" t="s">
        <v>32</v>
      </c>
      <c r="B19" s="13"/>
      <c r="C19" s="14"/>
      <c r="D19" s="13">
        <v>937.5</v>
      </c>
      <c r="E19" s="14"/>
      <c r="F19" s="13"/>
      <c r="G19" s="14"/>
      <c r="H19" s="13"/>
      <c r="I19" s="14"/>
      <c r="J19" s="13"/>
      <c r="K19" s="14"/>
      <c r="L19" s="13">
        <f>704+195.63</f>
        <v>899.63</v>
      </c>
      <c r="M19" s="14">
        <f>1062.5+325.88+27.7+1055.49</f>
        <v>2471.5700000000002</v>
      </c>
      <c r="N19" s="15">
        <f>SUM(B19:M19)</f>
        <v>4308.7000000000007</v>
      </c>
      <c r="O19" s="10">
        <v>2250</v>
      </c>
      <c r="P19" s="76">
        <f>O19+N5</f>
        <v>4860.7800000000007</v>
      </c>
      <c r="Q19" s="76">
        <f>P19-N19</f>
        <v>552.07999999999993</v>
      </c>
      <c r="R19" s="71" t="s">
        <v>33</v>
      </c>
    </row>
    <row r="20" spans="1:21" x14ac:dyDescent="0.25">
      <c r="A20" s="12" t="s">
        <v>34</v>
      </c>
      <c r="B20" s="13"/>
      <c r="C20" s="14"/>
      <c r="D20" s="13"/>
      <c r="E20" s="14"/>
      <c r="F20" s="13">
        <v>154.44</v>
      </c>
      <c r="G20" s="14"/>
      <c r="H20" s="13"/>
      <c r="I20" s="14"/>
      <c r="J20" s="13">
        <v>13.99</v>
      </c>
      <c r="K20" s="14"/>
      <c r="L20" s="13">
        <f>61.59+206.36</f>
        <v>267.95000000000005</v>
      </c>
      <c r="M20" s="14">
        <f>41.92+161.81+735.29</f>
        <v>939.02</v>
      </c>
      <c r="N20" s="15">
        <f t="shared" ref="N20:N69" si="2">SUM(B20:M20)</f>
        <v>1375.4</v>
      </c>
      <c r="O20" s="10">
        <v>1000</v>
      </c>
      <c r="P20" s="76">
        <f>+O20+250</f>
        <v>1250</v>
      </c>
      <c r="Q20" s="76">
        <f>P20-N20</f>
        <v>-125.40000000000009</v>
      </c>
      <c r="R20" s="70" t="s">
        <v>231</v>
      </c>
    </row>
    <row r="21" spans="1:21" x14ac:dyDescent="0.25">
      <c r="A21" s="12" t="s">
        <v>35</v>
      </c>
      <c r="B21" s="13"/>
      <c r="C21" s="14"/>
      <c r="D21" s="13">
        <v>237.5</v>
      </c>
      <c r="E21" s="14">
        <v>750</v>
      </c>
      <c r="F21" s="13"/>
      <c r="G21" s="14"/>
      <c r="H21" s="13"/>
      <c r="I21" s="14"/>
      <c r="J21" s="13"/>
      <c r="K21" s="14"/>
      <c r="L21" s="13">
        <v>750</v>
      </c>
      <c r="M21" s="14"/>
      <c r="N21" s="15">
        <f t="shared" si="2"/>
        <v>1737.5</v>
      </c>
      <c r="O21" s="10">
        <v>2000</v>
      </c>
      <c r="P21" s="76"/>
      <c r="Q21" s="76">
        <f t="shared" ref="Q21:Q70" si="3">O21-N21</f>
        <v>262.5</v>
      </c>
      <c r="R21" s="70"/>
    </row>
    <row r="22" spans="1:21" x14ac:dyDescent="0.25">
      <c r="A22" s="12" t="s">
        <v>36</v>
      </c>
      <c r="B22" s="13"/>
      <c r="C22" s="14">
        <v>191.98</v>
      </c>
      <c r="D22" s="13">
        <v>85</v>
      </c>
      <c r="E22" s="14"/>
      <c r="F22" s="13"/>
      <c r="G22" s="14">
        <v>534.5</v>
      </c>
      <c r="H22" s="13">
        <v>13.45</v>
      </c>
      <c r="I22" s="14"/>
      <c r="J22" s="13"/>
      <c r="K22" s="14">
        <v>22.99</v>
      </c>
      <c r="L22" s="13"/>
      <c r="M22" s="14"/>
      <c r="N22" s="15">
        <f t="shared" si="2"/>
        <v>847.92000000000007</v>
      </c>
      <c r="O22" s="10">
        <v>1500</v>
      </c>
      <c r="P22" s="76"/>
      <c r="Q22" s="76">
        <f t="shared" si="3"/>
        <v>652.07999999999993</v>
      </c>
      <c r="R22" s="70"/>
    </row>
    <row r="23" spans="1:21" x14ac:dyDescent="0.25">
      <c r="A23" s="12" t="s">
        <v>37</v>
      </c>
      <c r="B23" s="13"/>
      <c r="C23" s="14"/>
      <c r="D23" s="13"/>
      <c r="E23" s="14"/>
      <c r="F23" s="13">
        <v>100</v>
      </c>
      <c r="G23" s="14"/>
      <c r="H23" s="13"/>
      <c r="I23" s="14"/>
      <c r="J23" s="13"/>
      <c r="K23" s="14"/>
      <c r="L23" s="13"/>
      <c r="M23" s="14"/>
      <c r="N23" s="15">
        <f t="shared" si="2"/>
        <v>100</v>
      </c>
      <c r="O23" s="10">
        <v>100</v>
      </c>
      <c r="P23" s="76"/>
      <c r="Q23" s="76">
        <f t="shared" si="3"/>
        <v>0</v>
      </c>
      <c r="R23" s="70" t="s">
        <v>38</v>
      </c>
    </row>
    <row r="24" spans="1:21" x14ac:dyDescent="0.25">
      <c r="A24" s="12" t="s">
        <v>39</v>
      </c>
      <c r="B24" s="13"/>
      <c r="C24" s="14"/>
      <c r="D24" s="13"/>
      <c r="E24" s="14"/>
      <c r="F24" s="13">
        <v>53.94</v>
      </c>
      <c r="G24" s="14"/>
      <c r="H24" s="13"/>
      <c r="I24" s="14"/>
      <c r="J24" s="13"/>
      <c r="K24" s="14"/>
      <c r="L24" s="13">
        <f>350+153.45</f>
        <v>503.45</v>
      </c>
      <c r="M24" s="14"/>
      <c r="N24" s="15">
        <f t="shared" si="2"/>
        <v>557.39</v>
      </c>
      <c r="O24" s="10">
        <f>250+300+100</f>
        <v>650</v>
      </c>
      <c r="P24" s="76"/>
      <c r="Q24" s="76">
        <f t="shared" si="3"/>
        <v>92.610000000000014</v>
      </c>
      <c r="R24" s="70" t="s">
        <v>224</v>
      </c>
    </row>
    <row r="25" spans="1:21" x14ac:dyDescent="0.25">
      <c r="A25" s="12" t="s">
        <v>40</v>
      </c>
      <c r="B25" s="13"/>
      <c r="C25" s="14"/>
      <c r="D25" s="13">
        <v>100</v>
      </c>
      <c r="E25" s="14"/>
      <c r="F25" s="13"/>
      <c r="G25" s="14"/>
      <c r="H25" s="13"/>
      <c r="I25" s="14"/>
      <c r="J25" s="13"/>
      <c r="K25" s="14"/>
      <c r="L25" s="13"/>
      <c r="M25" s="14"/>
      <c r="N25" s="15">
        <f t="shared" si="2"/>
        <v>100</v>
      </c>
      <c r="O25" s="10">
        <v>100</v>
      </c>
      <c r="P25" s="76"/>
      <c r="Q25" s="76">
        <f t="shared" si="3"/>
        <v>0</v>
      </c>
      <c r="R25" s="70"/>
    </row>
    <row r="26" spans="1:21" s="34" customFormat="1" ht="17.25" customHeight="1" x14ac:dyDescent="0.25">
      <c r="A26" s="31" t="s">
        <v>41</v>
      </c>
      <c r="B26" s="32"/>
      <c r="C26" s="33"/>
      <c r="D26" s="32"/>
      <c r="E26" s="14"/>
      <c r="F26" s="32"/>
      <c r="G26" s="33"/>
      <c r="H26" s="32"/>
      <c r="I26" s="14"/>
      <c r="J26" s="32"/>
      <c r="K26" s="33"/>
      <c r="L26" s="32"/>
      <c r="M26" s="33"/>
      <c r="N26" s="15">
        <f t="shared" si="2"/>
        <v>0</v>
      </c>
      <c r="O26" s="10">
        <v>2500</v>
      </c>
      <c r="P26" s="76"/>
      <c r="Q26" s="76">
        <f>O26-N26</f>
        <v>2500</v>
      </c>
      <c r="R26" s="70"/>
    </row>
    <row r="27" spans="1:21" s="35" customFormat="1" x14ac:dyDescent="0.25">
      <c r="A27" s="12" t="s">
        <v>42</v>
      </c>
      <c r="B27" s="13"/>
      <c r="C27" s="14"/>
      <c r="D27" s="13"/>
      <c r="E27" s="14"/>
      <c r="F27" s="13"/>
      <c r="G27" s="14"/>
      <c r="H27" s="13"/>
      <c r="I27" s="14"/>
      <c r="J27" s="13"/>
      <c r="K27" s="14"/>
      <c r="L27" s="13"/>
      <c r="M27" s="14">
        <v>494.67</v>
      </c>
      <c r="N27" s="15">
        <f t="shared" si="2"/>
        <v>494.67</v>
      </c>
      <c r="O27" s="10">
        <v>500</v>
      </c>
      <c r="P27" s="76"/>
      <c r="Q27" s="76">
        <f t="shared" si="3"/>
        <v>5.3299999999999841</v>
      </c>
      <c r="R27" s="73"/>
    </row>
    <row r="28" spans="1:21" s="36" customFormat="1" x14ac:dyDescent="0.25">
      <c r="A28" s="12" t="s">
        <v>43</v>
      </c>
      <c r="B28" s="13"/>
      <c r="C28" s="14"/>
      <c r="D28" s="13"/>
      <c r="E28" s="14">
        <f>-38.66-13.95-91.43</f>
        <v>-144.04000000000002</v>
      </c>
      <c r="F28" s="13">
        <f>-26-52-26-50.99+14+758.25</f>
        <v>617.26</v>
      </c>
      <c r="G28" s="14"/>
      <c r="H28" s="13"/>
      <c r="I28" s="14">
        <f>81.24-4.24</f>
        <v>77</v>
      </c>
      <c r="J28" s="13"/>
      <c r="K28" s="14"/>
      <c r="L28" s="13"/>
      <c r="M28" s="14"/>
      <c r="N28" s="15">
        <f t="shared" si="2"/>
        <v>550.22</v>
      </c>
      <c r="O28" s="10">
        <v>550</v>
      </c>
      <c r="P28" s="76"/>
      <c r="Q28" s="76">
        <f t="shared" si="3"/>
        <v>-0.22000000000002728</v>
      </c>
      <c r="R28" s="70" t="s">
        <v>44</v>
      </c>
    </row>
    <row r="29" spans="1:21" x14ac:dyDescent="0.25">
      <c r="A29" s="12" t="s">
        <v>45</v>
      </c>
      <c r="B29" s="13"/>
      <c r="C29" s="14"/>
      <c r="D29" s="13"/>
      <c r="E29" s="14"/>
      <c r="F29" s="13">
        <f>25.41+100</f>
        <v>125.41</v>
      </c>
      <c r="G29" s="14">
        <f>50+67.32+50+38.14+30+43.86</f>
        <v>279.32</v>
      </c>
      <c r="H29" s="13"/>
      <c r="I29" s="14">
        <f>45.37</f>
        <v>45.37</v>
      </c>
      <c r="J29" s="13">
        <f>74.14+50+45.3+48</f>
        <v>217.44</v>
      </c>
      <c r="K29" s="14">
        <f>71.65</f>
        <v>71.650000000000006</v>
      </c>
      <c r="L29" s="13">
        <f>50+57.5</f>
        <v>107.5</v>
      </c>
      <c r="M29" s="14">
        <f>75+66.36</f>
        <v>141.36000000000001</v>
      </c>
      <c r="N29" s="15">
        <f>SUM(B29:M29)</f>
        <v>988.05</v>
      </c>
      <c r="O29" s="10">
        <f>2400-50</f>
        <v>2350</v>
      </c>
      <c r="P29" s="76"/>
      <c r="Q29" s="76">
        <f t="shared" si="3"/>
        <v>1361.95</v>
      </c>
      <c r="R29" s="70"/>
    </row>
    <row r="30" spans="1:21" x14ac:dyDescent="0.25">
      <c r="A30" s="12" t="s">
        <v>46</v>
      </c>
      <c r="B30" s="13"/>
      <c r="C30" s="14"/>
      <c r="D30" s="13"/>
      <c r="E30" s="14"/>
      <c r="F30" s="13"/>
      <c r="G30" s="14"/>
      <c r="H30" s="13">
        <v>250</v>
      </c>
      <c r="I30" s="14"/>
      <c r="J30" s="13"/>
      <c r="K30" s="14"/>
      <c r="L30" s="13"/>
      <c r="M30" s="14"/>
      <c r="N30" s="15">
        <f t="shared" si="2"/>
        <v>250</v>
      </c>
      <c r="O30" s="10">
        <v>250</v>
      </c>
      <c r="P30" s="76"/>
      <c r="Q30" s="76">
        <f t="shared" si="3"/>
        <v>0</v>
      </c>
      <c r="R30" s="70"/>
    </row>
    <row r="31" spans="1:21" x14ac:dyDescent="0.25">
      <c r="A31" s="12" t="s">
        <v>47</v>
      </c>
      <c r="B31" s="13"/>
      <c r="C31" s="14"/>
      <c r="D31" s="13"/>
      <c r="E31" s="14"/>
      <c r="F31" s="13"/>
      <c r="G31" s="14"/>
      <c r="H31" s="13"/>
      <c r="I31" s="14"/>
      <c r="J31" s="13"/>
      <c r="K31" s="14"/>
      <c r="L31" s="13">
        <v>1000</v>
      </c>
      <c r="M31" s="14"/>
      <c r="N31" s="15">
        <f t="shared" si="2"/>
        <v>1000</v>
      </c>
      <c r="O31" s="10">
        <v>1000</v>
      </c>
      <c r="P31" s="76"/>
      <c r="Q31" s="76">
        <f t="shared" si="3"/>
        <v>0</v>
      </c>
      <c r="R31" s="70"/>
    </row>
    <row r="32" spans="1:21" x14ac:dyDescent="0.25">
      <c r="A32" s="12" t="s">
        <v>48</v>
      </c>
      <c r="B32" s="13"/>
      <c r="C32" s="14"/>
      <c r="D32" s="13"/>
      <c r="E32" s="14"/>
      <c r="F32" s="13">
        <f>485.23</f>
        <v>485.23</v>
      </c>
      <c r="G32" s="14">
        <v>1307.0999999999999</v>
      </c>
      <c r="H32" s="13"/>
      <c r="I32" s="14"/>
      <c r="J32" s="13">
        <v>1145.69</v>
      </c>
      <c r="K32" s="14"/>
      <c r="L32" s="13">
        <v>561.9</v>
      </c>
      <c r="M32" s="14"/>
      <c r="N32" s="15">
        <f t="shared" si="2"/>
        <v>3499.92</v>
      </c>
      <c r="O32" s="10">
        <v>3500</v>
      </c>
      <c r="P32" s="76"/>
      <c r="Q32" s="76">
        <f>O32-N32</f>
        <v>7.999999999992724E-2</v>
      </c>
      <c r="R32" s="71" t="s">
        <v>49</v>
      </c>
    </row>
    <row r="33" spans="1:18" x14ac:dyDescent="0.25">
      <c r="A33" s="18" t="s">
        <v>50</v>
      </c>
      <c r="B33" s="13"/>
      <c r="C33" s="14"/>
      <c r="D33" s="13"/>
      <c r="E33" s="14"/>
      <c r="F33" s="13"/>
      <c r="G33" s="14"/>
      <c r="H33" s="13"/>
      <c r="I33" s="14">
        <f>499.08</f>
        <v>499.08</v>
      </c>
      <c r="J33" s="13">
        <f>50+95.09</f>
        <v>145.09</v>
      </c>
      <c r="K33" s="14"/>
      <c r="L33" s="13"/>
      <c r="M33" s="14"/>
      <c r="N33" s="15">
        <f t="shared" si="2"/>
        <v>644.16999999999996</v>
      </c>
      <c r="O33" s="10">
        <v>1200</v>
      </c>
      <c r="P33" s="76"/>
      <c r="Q33" s="76">
        <f t="shared" si="3"/>
        <v>555.83000000000004</v>
      </c>
      <c r="R33" s="70"/>
    </row>
    <row r="34" spans="1:18" x14ac:dyDescent="0.25">
      <c r="A34" s="18" t="s">
        <v>51</v>
      </c>
      <c r="B34" s="13"/>
      <c r="C34" s="14"/>
      <c r="D34" s="13"/>
      <c r="E34" s="14"/>
      <c r="F34" s="13"/>
      <c r="G34" s="14"/>
      <c r="H34" s="13"/>
      <c r="I34" s="14"/>
      <c r="J34" s="13"/>
      <c r="K34" s="14"/>
      <c r="L34" s="13"/>
      <c r="M34" s="14"/>
      <c r="N34" s="15">
        <f t="shared" si="2"/>
        <v>0</v>
      </c>
      <c r="O34" s="10">
        <v>50</v>
      </c>
      <c r="P34" s="76"/>
      <c r="Q34" s="76">
        <f t="shared" si="3"/>
        <v>50</v>
      </c>
      <c r="R34" s="70"/>
    </row>
    <row r="35" spans="1:18" x14ac:dyDescent="0.25">
      <c r="A35" s="18" t="s">
        <v>52</v>
      </c>
      <c r="B35" s="13"/>
      <c r="C35" s="14">
        <v>378</v>
      </c>
      <c r="D35" s="13">
        <f>22.19+23.19</f>
        <v>45.38</v>
      </c>
      <c r="E35" s="14"/>
      <c r="F35" s="13"/>
      <c r="G35" s="14">
        <v>48</v>
      </c>
      <c r="H35" s="13"/>
      <c r="I35" s="14"/>
      <c r="J35" s="13"/>
      <c r="K35" s="14"/>
      <c r="L35" s="13"/>
      <c r="M35" s="14"/>
      <c r="N35" s="15">
        <f t="shared" si="2"/>
        <v>471.38</v>
      </c>
      <c r="O35" s="10">
        <v>500</v>
      </c>
      <c r="P35" s="76"/>
      <c r="Q35" s="76">
        <f t="shared" si="3"/>
        <v>28.620000000000005</v>
      </c>
      <c r="R35" s="70"/>
    </row>
    <row r="36" spans="1:18" x14ac:dyDescent="0.25">
      <c r="A36" s="18" t="s">
        <v>53</v>
      </c>
      <c r="B36" s="13"/>
      <c r="C36" s="14"/>
      <c r="D36" s="13"/>
      <c r="E36" s="14"/>
      <c r="F36" s="13"/>
      <c r="G36" s="14"/>
      <c r="H36" s="13"/>
      <c r="I36" s="14"/>
      <c r="J36" s="13"/>
      <c r="K36" s="14"/>
      <c r="L36" s="13"/>
      <c r="M36" s="14"/>
      <c r="N36" s="15">
        <f t="shared" si="2"/>
        <v>0</v>
      </c>
      <c r="O36" s="10">
        <v>100</v>
      </c>
      <c r="P36" s="76"/>
      <c r="Q36" s="76">
        <f t="shared" si="3"/>
        <v>100</v>
      </c>
      <c r="R36" s="70"/>
    </row>
    <row r="37" spans="1:18" x14ac:dyDescent="0.25">
      <c r="A37" s="18" t="s">
        <v>54</v>
      </c>
      <c r="B37" s="13"/>
      <c r="C37" s="14"/>
      <c r="D37" s="13"/>
      <c r="E37" s="14"/>
      <c r="F37" s="13"/>
      <c r="G37" s="14"/>
      <c r="H37" s="13"/>
      <c r="I37" s="14"/>
      <c r="J37" s="13"/>
      <c r="K37" s="14"/>
      <c r="L37" s="13">
        <f>77.94+54.39</f>
        <v>132.32999999999998</v>
      </c>
      <c r="M37" s="123">
        <f>115.43-48</f>
        <v>67.430000000000007</v>
      </c>
      <c r="N37" s="15">
        <f t="shared" si="2"/>
        <v>199.76</v>
      </c>
      <c r="O37" s="10">
        <v>200</v>
      </c>
      <c r="P37" s="76"/>
      <c r="Q37" s="76">
        <f t="shared" si="3"/>
        <v>0.24000000000000909</v>
      </c>
      <c r="R37" s="70"/>
    </row>
    <row r="38" spans="1:18" x14ac:dyDescent="0.25">
      <c r="A38" s="12" t="s">
        <v>55</v>
      </c>
      <c r="B38" s="13"/>
      <c r="C38" s="14"/>
      <c r="D38" s="13"/>
      <c r="E38" s="14"/>
      <c r="F38" s="13"/>
      <c r="G38" s="14"/>
      <c r="H38" s="13"/>
      <c r="I38" s="14"/>
      <c r="J38" s="13"/>
      <c r="K38" s="14"/>
      <c r="L38" s="13"/>
      <c r="M38" s="14">
        <f>58.75+59.7</f>
        <v>118.45</v>
      </c>
      <c r="N38" s="15">
        <f t="shared" si="2"/>
        <v>118.45</v>
      </c>
      <c r="O38" s="10">
        <v>1900</v>
      </c>
      <c r="P38" s="76"/>
      <c r="Q38" s="76">
        <f t="shared" si="3"/>
        <v>1781.55</v>
      </c>
      <c r="R38" s="70"/>
    </row>
    <row r="39" spans="1:18" x14ac:dyDescent="0.25">
      <c r="A39" s="12" t="s">
        <v>56</v>
      </c>
      <c r="B39" s="13"/>
      <c r="C39" s="14"/>
      <c r="D39" s="13"/>
      <c r="E39" s="14"/>
      <c r="F39" s="13"/>
      <c r="G39" s="14"/>
      <c r="H39" s="13"/>
      <c r="I39" s="13"/>
      <c r="J39" s="13"/>
      <c r="K39" s="14">
        <v>329</v>
      </c>
      <c r="L39" s="13">
        <v>183.68</v>
      </c>
      <c r="M39" s="14"/>
      <c r="N39" s="15">
        <f t="shared" si="2"/>
        <v>512.68000000000006</v>
      </c>
      <c r="O39" s="10">
        <v>1900</v>
      </c>
      <c r="P39" s="76"/>
      <c r="Q39" s="76">
        <f t="shared" si="3"/>
        <v>1387.32</v>
      </c>
      <c r="R39" s="70"/>
    </row>
    <row r="40" spans="1:18" x14ac:dyDescent="0.25">
      <c r="A40" s="12" t="s">
        <v>57</v>
      </c>
      <c r="B40" s="13"/>
      <c r="C40" s="14"/>
      <c r="D40" s="13"/>
      <c r="E40" s="14"/>
      <c r="F40" s="13"/>
      <c r="G40" s="14"/>
      <c r="H40" s="13"/>
      <c r="I40" s="14"/>
      <c r="J40" s="13"/>
      <c r="K40" s="14"/>
      <c r="L40" s="13">
        <f>20+704</f>
        <v>724</v>
      </c>
      <c r="M40" s="14">
        <v>177.75</v>
      </c>
      <c r="N40" s="15">
        <f t="shared" si="2"/>
        <v>901.75</v>
      </c>
      <c r="O40" s="10">
        <v>1900</v>
      </c>
      <c r="P40" s="76"/>
      <c r="Q40" s="76">
        <f t="shared" si="3"/>
        <v>998.25</v>
      </c>
      <c r="R40" s="71" t="s">
        <v>58</v>
      </c>
    </row>
    <row r="41" spans="1:18" x14ac:dyDescent="0.25">
      <c r="A41" s="12" t="s">
        <v>59</v>
      </c>
      <c r="B41" s="13"/>
      <c r="C41" s="14"/>
      <c r="D41" s="13"/>
      <c r="E41" s="14"/>
      <c r="F41" s="13"/>
      <c r="G41" s="14"/>
      <c r="H41" s="13"/>
      <c r="I41" s="14"/>
      <c r="J41" s="74">
        <v>600</v>
      </c>
      <c r="K41" s="14">
        <v>509</v>
      </c>
      <c r="L41" s="13"/>
      <c r="M41" s="14">
        <f>279.27+98.75+451.89</f>
        <v>829.91</v>
      </c>
      <c r="N41" s="15">
        <f t="shared" si="2"/>
        <v>1938.9099999999999</v>
      </c>
      <c r="O41" s="10">
        <v>1900</v>
      </c>
      <c r="P41" s="76"/>
      <c r="Q41" s="76">
        <f t="shared" si="3"/>
        <v>-38.909999999999854</v>
      </c>
      <c r="R41" s="70"/>
    </row>
    <row r="42" spans="1:18" x14ac:dyDescent="0.25">
      <c r="A42" s="12" t="s">
        <v>60</v>
      </c>
      <c r="B42" s="13"/>
      <c r="C42" s="14"/>
      <c r="D42" s="13"/>
      <c r="E42" s="14"/>
      <c r="F42" s="13"/>
      <c r="G42" s="14">
        <v>252</v>
      </c>
      <c r="H42" s="13"/>
      <c r="I42" s="14">
        <v>308.11</v>
      </c>
      <c r="J42" s="13"/>
      <c r="K42" s="14"/>
      <c r="L42" s="13">
        <v>470</v>
      </c>
      <c r="M42" s="14">
        <v>421.47</v>
      </c>
      <c r="N42" s="15">
        <f t="shared" si="2"/>
        <v>1451.5800000000002</v>
      </c>
      <c r="O42" s="10">
        <v>1900</v>
      </c>
      <c r="P42" s="76"/>
      <c r="Q42" s="76">
        <f t="shared" si="3"/>
        <v>448.41999999999985</v>
      </c>
      <c r="R42" s="70"/>
    </row>
    <row r="43" spans="1:18" x14ac:dyDescent="0.25">
      <c r="A43" s="12" t="s">
        <v>61</v>
      </c>
      <c r="B43" s="13"/>
      <c r="C43" s="14"/>
      <c r="D43" s="13"/>
      <c r="E43" s="14"/>
      <c r="F43" s="13"/>
      <c r="G43" s="14"/>
      <c r="H43" s="13"/>
      <c r="I43" s="14"/>
      <c r="J43" s="13">
        <v>469</v>
      </c>
      <c r="K43" s="14">
        <v>25</v>
      </c>
      <c r="L43" s="13">
        <v>404.88</v>
      </c>
      <c r="M43" s="14"/>
      <c r="N43" s="15">
        <f t="shared" si="2"/>
        <v>898.88</v>
      </c>
      <c r="O43" s="10">
        <v>1900</v>
      </c>
      <c r="P43" s="76"/>
      <c r="Q43" s="76">
        <f t="shared" si="3"/>
        <v>1001.12</v>
      </c>
      <c r="R43" s="71"/>
    </row>
    <row r="44" spans="1:18" s="34" customFormat="1" x14ac:dyDescent="0.25">
      <c r="A44" s="12" t="s">
        <v>62</v>
      </c>
      <c r="B44" s="13"/>
      <c r="C44" s="14"/>
      <c r="D44" s="13"/>
      <c r="E44" s="14"/>
      <c r="F44" s="13"/>
      <c r="G44" s="14"/>
      <c r="H44" s="13"/>
      <c r="I44" s="14"/>
      <c r="J44" s="13"/>
      <c r="K44" s="14"/>
      <c r="L44" s="13"/>
      <c r="M44" s="14">
        <v>487.04</v>
      </c>
      <c r="N44" s="15">
        <f t="shared" si="2"/>
        <v>487.04</v>
      </c>
      <c r="O44" s="10">
        <v>550</v>
      </c>
      <c r="P44" s="76"/>
      <c r="Q44" s="76">
        <f t="shared" si="3"/>
        <v>62.95999999999998</v>
      </c>
      <c r="R44" s="72"/>
    </row>
    <row r="45" spans="1:18" x14ac:dyDescent="0.25">
      <c r="A45" s="12" t="s">
        <v>63</v>
      </c>
      <c r="B45" s="13"/>
      <c r="C45" s="14"/>
      <c r="D45" s="13"/>
      <c r="E45" s="14">
        <v>1195</v>
      </c>
      <c r="F45" s="13"/>
      <c r="G45" s="14"/>
      <c r="H45" s="13"/>
      <c r="I45" s="14"/>
      <c r="J45" s="13"/>
      <c r="K45" s="14"/>
      <c r="L45" s="13"/>
      <c r="M45" s="14"/>
      <c r="N45" s="15">
        <f t="shared" si="2"/>
        <v>1195</v>
      </c>
      <c r="O45" s="10">
        <v>1000</v>
      </c>
      <c r="P45" s="76"/>
      <c r="Q45" s="76">
        <f t="shared" si="3"/>
        <v>-195</v>
      </c>
      <c r="R45" s="70"/>
    </row>
    <row r="46" spans="1:18" x14ac:dyDescent="0.25">
      <c r="A46" s="12" t="s">
        <v>64</v>
      </c>
      <c r="B46" s="13"/>
      <c r="C46" s="14"/>
      <c r="D46" s="13">
        <v>2989.36</v>
      </c>
      <c r="E46" s="14"/>
      <c r="F46" s="13">
        <f>27.96+65+29.44</f>
        <v>122.4</v>
      </c>
      <c r="G46" s="14">
        <f>59.72</f>
        <v>59.72</v>
      </c>
      <c r="H46" s="13">
        <f>55.16+203.68+46.01</f>
        <v>304.85000000000002</v>
      </c>
      <c r="I46" s="14">
        <v>191.4</v>
      </c>
      <c r="J46" s="13"/>
      <c r="K46" s="14"/>
      <c r="L46" s="13"/>
      <c r="M46" s="14"/>
      <c r="N46" s="15">
        <f t="shared" si="2"/>
        <v>3667.73</v>
      </c>
      <c r="O46" s="10">
        <v>4250</v>
      </c>
      <c r="P46" s="76"/>
      <c r="Q46" s="76">
        <f t="shared" si="3"/>
        <v>582.27</v>
      </c>
      <c r="R46" s="70"/>
    </row>
    <row r="47" spans="1:18" x14ac:dyDescent="0.25">
      <c r="A47" s="18" t="s">
        <v>65</v>
      </c>
      <c r="B47" s="13"/>
      <c r="C47" s="14"/>
      <c r="D47" s="13"/>
      <c r="E47" s="14"/>
      <c r="F47" s="13"/>
      <c r="G47" s="14"/>
      <c r="H47" s="13"/>
      <c r="I47" s="14"/>
      <c r="J47" s="13"/>
      <c r="K47" s="14"/>
      <c r="L47" s="13"/>
      <c r="M47" s="14"/>
      <c r="N47" s="15">
        <f t="shared" si="2"/>
        <v>0</v>
      </c>
      <c r="O47" s="10">
        <v>250</v>
      </c>
      <c r="P47" s="76"/>
      <c r="Q47" s="76">
        <f t="shared" si="3"/>
        <v>250</v>
      </c>
      <c r="R47" s="70"/>
    </row>
    <row r="48" spans="1:18" x14ac:dyDescent="0.25">
      <c r="A48" s="18" t="s">
        <v>66</v>
      </c>
      <c r="B48" s="13"/>
      <c r="C48" s="14"/>
      <c r="D48" s="13"/>
      <c r="E48" s="14"/>
      <c r="F48" s="13"/>
      <c r="G48" s="14"/>
      <c r="H48" s="13"/>
      <c r="I48" s="14">
        <f>11.69+44.57</f>
        <v>56.26</v>
      </c>
      <c r="J48" s="13">
        <v>32.979999999999997</v>
      </c>
      <c r="K48" s="14">
        <f>-45-161.84</f>
        <v>-206.84</v>
      </c>
      <c r="L48" s="13"/>
      <c r="M48" s="14"/>
      <c r="N48" s="15">
        <f t="shared" si="2"/>
        <v>-117.60000000000001</v>
      </c>
      <c r="O48" s="10">
        <v>500</v>
      </c>
      <c r="P48" s="76"/>
      <c r="Q48" s="76">
        <f t="shared" si="3"/>
        <v>617.6</v>
      </c>
      <c r="R48" s="70"/>
    </row>
    <row r="49" spans="1:18" x14ac:dyDescent="0.25">
      <c r="A49" s="129" t="s">
        <v>67</v>
      </c>
      <c r="B49" s="130"/>
      <c r="C49" s="131"/>
      <c r="D49" s="130"/>
      <c r="E49" s="131"/>
      <c r="F49" s="130"/>
      <c r="G49" s="131"/>
      <c r="H49" s="130"/>
      <c r="I49" s="131"/>
      <c r="J49" s="130"/>
      <c r="K49" s="131"/>
      <c r="L49" s="130"/>
      <c r="M49" s="131"/>
      <c r="N49" s="132">
        <f t="shared" si="2"/>
        <v>0</v>
      </c>
      <c r="O49" s="133">
        <v>620</v>
      </c>
      <c r="P49" s="76"/>
      <c r="Q49" s="76">
        <f t="shared" si="3"/>
        <v>620</v>
      </c>
      <c r="R49" s="70" t="s">
        <v>68</v>
      </c>
    </row>
    <row r="50" spans="1:18" x14ac:dyDescent="0.25">
      <c r="A50" s="12" t="s">
        <v>69</v>
      </c>
      <c r="B50" s="13"/>
      <c r="C50" s="14">
        <v>335</v>
      </c>
      <c r="D50" s="13"/>
      <c r="E50" s="14"/>
      <c r="F50" s="13"/>
      <c r="G50" s="14"/>
      <c r="H50" s="13"/>
      <c r="I50" s="14"/>
      <c r="J50" s="13"/>
      <c r="K50" s="14"/>
      <c r="L50" s="13"/>
      <c r="M50" s="14"/>
      <c r="N50" s="15">
        <f t="shared" si="2"/>
        <v>335</v>
      </c>
      <c r="O50" s="10">
        <v>375</v>
      </c>
      <c r="P50" s="76"/>
      <c r="Q50" s="76">
        <f t="shared" si="3"/>
        <v>40</v>
      </c>
      <c r="R50" s="70"/>
    </row>
    <row r="51" spans="1:18" x14ac:dyDescent="0.25">
      <c r="A51" s="12" t="s">
        <v>70</v>
      </c>
      <c r="B51" s="13"/>
      <c r="C51" s="14">
        <v>69.56</v>
      </c>
      <c r="D51" s="13"/>
      <c r="E51" s="14"/>
      <c r="F51" s="13"/>
      <c r="G51" s="14"/>
      <c r="H51" s="13"/>
      <c r="I51" s="14"/>
      <c r="J51" s="13"/>
      <c r="K51" s="14"/>
      <c r="L51" s="13"/>
      <c r="M51" s="14"/>
      <c r="N51" s="15">
        <f t="shared" si="2"/>
        <v>69.56</v>
      </c>
      <c r="O51" s="10">
        <v>150</v>
      </c>
      <c r="P51" s="76"/>
      <c r="Q51" s="76">
        <f t="shared" si="3"/>
        <v>80.44</v>
      </c>
      <c r="R51" s="70"/>
    </row>
    <row r="52" spans="1:18" x14ac:dyDescent="0.25">
      <c r="A52" s="12" t="s">
        <v>71</v>
      </c>
      <c r="B52" s="13"/>
      <c r="C52" s="14"/>
      <c r="D52" s="13"/>
      <c r="E52" s="14"/>
      <c r="F52" s="13"/>
      <c r="G52" s="14">
        <v>59.75</v>
      </c>
      <c r="H52" s="13">
        <v>66.75</v>
      </c>
      <c r="I52" s="14"/>
      <c r="J52" s="13">
        <v>62.35</v>
      </c>
      <c r="K52" s="14"/>
      <c r="L52" s="13">
        <v>123.51</v>
      </c>
      <c r="M52" s="14">
        <v>152.69</v>
      </c>
      <c r="N52" s="15">
        <f t="shared" si="2"/>
        <v>465.05</v>
      </c>
      <c r="O52" s="10">
        <v>500</v>
      </c>
      <c r="P52" s="76"/>
      <c r="Q52" s="76">
        <f t="shared" si="3"/>
        <v>34.949999999999989</v>
      </c>
      <c r="R52" s="70"/>
    </row>
    <row r="53" spans="1:18" x14ac:dyDescent="0.25">
      <c r="A53" s="12" t="s">
        <v>72</v>
      </c>
      <c r="B53" s="13"/>
      <c r="C53" s="14"/>
      <c r="D53" s="13"/>
      <c r="E53" s="14">
        <f>152.21</f>
        <v>152.21</v>
      </c>
      <c r="F53" s="13">
        <v>38.64</v>
      </c>
      <c r="G53" s="14">
        <f>166.21</f>
        <v>166.21</v>
      </c>
      <c r="H53" s="13">
        <f>12.18+4.99</f>
        <v>17.170000000000002</v>
      </c>
      <c r="I53" s="14"/>
      <c r="J53" s="13">
        <v>25.27</v>
      </c>
      <c r="K53" s="14">
        <f>37.83+34.29</f>
        <v>72.12</v>
      </c>
      <c r="L53" s="13">
        <f>86.36+9.99+21.97+98.9+197.59</f>
        <v>414.81</v>
      </c>
      <c r="M53" s="123">
        <f>31.98+57.96</f>
        <v>89.94</v>
      </c>
      <c r="N53" s="15">
        <f t="shared" si="2"/>
        <v>976.37000000000012</v>
      </c>
      <c r="O53" s="10">
        <v>1000</v>
      </c>
      <c r="P53" s="76"/>
      <c r="Q53" s="76">
        <f t="shared" si="3"/>
        <v>23.629999999999882</v>
      </c>
      <c r="R53" s="70"/>
    </row>
    <row r="54" spans="1:18" x14ac:dyDescent="0.25">
      <c r="A54" s="12" t="s">
        <v>73</v>
      </c>
      <c r="B54" s="13"/>
      <c r="C54" s="14"/>
      <c r="D54" s="13"/>
      <c r="E54" s="14"/>
      <c r="F54" s="13"/>
      <c r="G54" s="14"/>
      <c r="H54" s="13"/>
      <c r="I54" s="14"/>
      <c r="J54" s="13"/>
      <c r="K54" s="14"/>
      <c r="L54" s="13">
        <v>318.07</v>
      </c>
      <c r="M54" s="14">
        <f>1326</f>
        <v>1326</v>
      </c>
      <c r="N54" s="15">
        <f t="shared" si="2"/>
        <v>1644.07</v>
      </c>
      <c r="O54" s="10">
        <v>2000</v>
      </c>
      <c r="P54" s="76"/>
      <c r="Q54" s="76">
        <f t="shared" si="3"/>
        <v>355.93000000000006</v>
      </c>
      <c r="R54" s="70"/>
    </row>
    <row r="55" spans="1:18" x14ac:dyDescent="0.25">
      <c r="A55" s="18" t="s">
        <v>74</v>
      </c>
      <c r="B55" s="13"/>
      <c r="C55" s="14">
        <v>225</v>
      </c>
      <c r="D55" s="13"/>
      <c r="E55" s="14"/>
      <c r="F55" s="13"/>
      <c r="G55" s="14"/>
      <c r="H55" s="13"/>
      <c r="I55" s="14"/>
      <c r="J55" s="13"/>
      <c r="K55" s="14"/>
      <c r="L55" s="13"/>
      <c r="M55" s="14"/>
      <c r="N55" s="15">
        <f>SUM(B55:M55)</f>
        <v>225</v>
      </c>
      <c r="O55" s="10">
        <v>300</v>
      </c>
      <c r="P55" s="76"/>
      <c r="Q55" s="76">
        <f t="shared" si="3"/>
        <v>75</v>
      </c>
      <c r="R55" s="70"/>
    </row>
    <row r="56" spans="1:18" x14ac:dyDescent="0.25">
      <c r="A56" s="18" t="s">
        <v>75</v>
      </c>
      <c r="B56" s="13"/>
      <c r="C56" s="14"/>
      <c r="D56" s="13"/>
      <c r="E56" s="14">
        <v>433.13</v>
      </c>
      <c r="F56" s="13"/>
      <c r="G56" s="14"/>
      <c r="H56" s="13"/>
      <c r="I56" s="14"/>
      <c r="J56" s="13"/>
      <c r="K56" s="14"/>
      <c r="L56" s="13"/>
      <c r="M56" s="14"/>
      <c r="N56" s="15">
        <f t="shared" si="2"/>
        <v>433.13</v>
      </c>
      <c r="O56" s="10">
        <v>450</v>
      </c>
      <c r="P56" s="76"/>
      <c r="Q56" s="76">
        <f t="shared" si="3"/>
        <v>16.870000000000005</v>
      </c>
      <c r="R56" s="70"/>
    </row>
    <row r="57" spans="1:18" x14ac:dyDescent="0.25">
      <c r="A57" s="18" t="s">
        <v>76</v>
      </c>
      <c r="B57" s="13"/>
      <c r="C57" s="14"/>
      <c r="D57" s="13">
        <v>453.75</v>
      </c>
      <c r="E57" s="14">
        <v>61.88</v>
      </c>
      <c r="F57" s="13"/>
      <c r="G57" s="14"/>
      <c r="H57" s="13"/>
      <c r="I57" s="14"/>
      <c r="J57" s="13"/>
      <c r="K57" s="14"/>
      <c r="L57" s="13"/>
      <c r="M57" s="14"/>
      <c r="N57" s="15">
        <f>SUM(B57:M57)</f>
        <v>515.63</v>
      </c>
      <c r="O57" s="10">
        <v>450</v>
      </c>
      <c r="P57" s="76"/>
      <c r="Q57" s="76">
        <f t="shared" si="3"/>
        <v>-65.63</v>
      </c>
      <c r="R57" s="70"/>
    </row>
    <row r="58" spans="1:18" x14ac:dyDescent="0.25">
      <c r="A58" s="12" t="s">
        <v>77</v>
      </c>
      <c r="B58" s="13"/>
      <c r="C58" s="14">
        <f>681.73+129.43+987.16+507.9+526.88+861.17+32.79+211.77+23.32</f>
        <v>3962.1500000000005</v>
      </c>
      <c r="D58" s="13">
        <f>362.65+104.64+92.94+11.84+57.58+121.44+234.64</f>
        <v>985.73000000000013</v>
      </c>
      <c r="E58" s="123"/>
      <c r="F58" s="13">
        <f>58.94+148.52</f>
        <v>207.46</v>
      </c>
      <c r="G58" s="14"/>
      <c r="H58" s="13">
        <v>90.89</v>
      </c>
      <c r="I58" s="14">
        <v>242.78</v>
      </c>
      <c r="J58" s="13">
        <v>106.15</v>
      </c>
      <c r="K58" s="14"/>
      <c r="L58" s="13">
        <v>130.13999999999999</v>
      </c>
      <c r="M58" s="14">
        <f>198.93+927.89+44.6+588.76+974.8</f>
        <v>2734.9799999999996</v>
      </c>
      <c r="N58" s="15">
        <f t="shared" si="2"/>
        <v>8460.2800000000007</v>
      </c>
      <c r="O58" s="10">
        <v>7000</v>
      </c>
      <c r="P58" s="76">
        <f>+O58+(N14-O14)</f>
        <v>8477.81</v>
      </c>
      <c r="Q58" s="76">
        <f>P58-N58</f>
        <v>17.529999999998836</v>
      </c>
      <c r="R58" s="70"/>
    </row>
    <row r="59" spans="1:18" s="34" customFormat="1" x14ac:dyDescent="0.25">
      <c r="A59" s="12" t="s">
        <v>78</v>
      </c>
      <c r="B59" s="13"/>
      <c r="C59" s="14"/>
      <c r="D59" s="13"/>
      <c r="E59" s="14"/>
      <c r="F59" s="13">
        <v>82.44</v>
      </c>
      <c r="G59" s="14">
        <v>159.19</v>
      </c>
      <c r="H59" s="13">
        <v>200</v>
      </c>
      <c r="I59" s="14"/>
      <c r="J59" s="13">
        <v>73.849999999999994</v>
      </c>
      <c r="K59" s="14"/>
      <c r="L59" s="13">
        <v>100.71</v>
      </c>
      <c r="M59" s="14"/>
      <c r="N59" s="15">
        <f t="shared" si="2"/>
        <v>616.19000000000005</v>
      </c>
      <c r="O59" s="10">
        <f>250+250+250</f>
        <v>750</v>
      </c>
      <c r="P59" s="76"/>
      <c r="Q59" s="76">
        <f t="shared" si="3"/>
        <v>133.80999999999995</v>
      </c>
      <c r="R59" s="70" t="s">
        <v>79</v>
      </c>
    </row>
    <row r="60" spans="1:18" ht="14.25" customHeight="1" x14ac:dyDescent="0.25">
      <c r="A60" s="12" t="s">
        <v>80</v>
      </c>
      <c r="B60" s="13"/>
      <c r="C60" s="14"/>
      <c r="D60" s="13"/>
      <c r="E60" s="14"/>
      <c r="F60" s="13"/>
      <c r="G60" s="14"/>
      <c r="H60" s="13"/>
      <c r="I60" s="14"/>
      <c r="J60" s="13">
        <v>31.96</v>
      </c>
      <c r="K60" s="14"/>
      <c r="L60" s="13"/>
      <c r="M60" s="14"/>
      <c r="N60" s="15">
        <f t="shared" si="2"/>
        <v>31.96</v>
      </c>
      <c r="O60" s="10">
        <v>500</v>
      </c>
      <c r="P60" s="76"/>
      <c r="Q60" s="76">
        <f t="shared" si="3"/>
        <v>468.04</v>
      </c>
      <c r="R60" s="70"/>
    </row>
    <row r="61" spans="1:18" x14ac:dyDescent="0.25">
      <c r="A61" s="18" t="s">
        <v>81</v>
      </c>
      <c r="B61" s="13"/>
      <c r="C61" s="14"/>
      <c r="D61" s="13">
        <f>118.75+117.78</f>
        <v>236.53</v>
      </c>
      <c r="E61" s="14"/>
      <c r="F61" s="13">
        <f>262.25+84.27+120.88</f>
        <v>467.4</v>
      </c>
      <c r="G61" s="14">
        <f>498.94</f>
        <v>498.94</v>
      </c>
      <c r="H61" s="13">
        <f>157.54+165.27</f>
        <v>322.81</v>
      </c>
      <c r="I61" s="14">
        <f>174.95</f>
        <v>174.95</v>
      </c>
      <c r="J61" s="13">
        <v>128.16</v>
      </c>
      <c r="K61" s="14">
        <f>429.22</f>
        <v>429.22</v>
      </c>
      <c r="L61" s="13">
        <f>125+301.62+100.34+16.48+29.88+536.4</f>
        <v>1109.72</v>
      </c>
      <c r="M61" s="14">
        <f>113.31+142.11</f>
        <v>255.42000000000002</v>
      </c>
      <c r="N61" s="15">
        <f>SUM(B61:M61)</f>
        <v>3623.1500000000005</v>
      </c>
      <c r="O61" s="10">
        <v>4225</v>
      </c>
      <c r="P61" s="76">
        <f>O61+N15</f>
        <v>5096.9800000000005</v>
      </c>
      <c r="Q61" s="76">
        <f>P61-N61</f>
        <v>1473.83</v>
      </c>
      <c r="R61" s="70"/>
    </row>
    <row r="62" spans="1:18" x14ac:dyDescent="0.25">
      <c r="A62" s="12" t="s">
        <v>82</v>
      </c>
      <c r="B62" s="13"/>
      <c r="C62" s="14"/>
      <c r="D62" s="13">
        <v>100</v>
      </c>
      <c r="E62" s="14">
        <f>50+100</f>
        <v>150</v>
      </c>
      <c r="F62" s="13">
        <f>35.14+102.33+500</f>
        <v>637.47</v>
      </c>
      <c r="G62" s="14">
        <f>500+250+73.14</f>
        <v>823.14</v>
      </c>
      <c r="H62" s="13">
        <f>200</f>
        <v>200</v>
      </c>
      <c r="I62" s="14"/>
      <c r="J62" s="13"/>
      <c r="K62" s="14">
        <v>81.95</v>
      </c>
      <c r="L62" s="13">
        <f>200.26+33.24</f>
        <v>233.5</v>
      </c>
      <c r="M62" s="14">
        <f>75+100</f>
        <v>175</v>
      </c>
      <c r="N62" s="15">
        <f>SUM(B62:M62)</f>
        <v>2401.0600000000004</v>
      </c>
      <c r="O62" s="10">
        <f>750+250</f>
        <v>1000</v>
      </c>
      <c r="P62" s="76">
        <f>O62+1000+125+50+117.52+197.52</f>
        <v>2490.04</v>
      </c>
      <c r="Q62" s="76">
        <f>P62-N62</f>
        <v>88.979999999999563</v>
      </c>
      <c r="R62" s="70" t="s">
        <v>83</v>
      </c>
    </row>
    <row r="63" spans="1:18" x14ac:dyDescent="0.25">
      <c r="A63" s="12" t="s">
        <v>84</v>
      </c>
      <c r="B63" s="13"/>
      <c r="C63" s="14"/>
      <c r="D63" s="13"/>
      <c r="E63" s="14"/>
      <c r="F63" s="13">
        <v>90</v>
      </c>
      <c r="G63" s="14"/>
      <c r="H63" s="13">
        <v>50</v>
      </c>
      <c r="I63" s="14"/>
      <c r="J63" s="13"/>
      <c r="K63" s="14"/>
      <c r="L63" s="13"/>
      <c r="M63" s="14"/>
      <c r="N63" s="15">
        <f t="shared" si="2"/>
        <v>140</v>
      </c>
      <c r="O63" s="10">
        <v>140</v>
      </c>
      <c r="P63" s="76"/>
      <c r="Q63" s="76">
        <f t="shared" si="3"/>
        <v>0</v>
      </c>
      <c r="R63" s="70"/>
    </row>
    <row r="64" spans="1:18" x14ac:dyDescent="0.25">
      <c r="A64" s="12" t="s">
        <v>85</v>
      </c>
      <c r="B64" s="13"/>
      <c r="C64" s="14">
        <f>205.54</f>
        <v>205.54</v>
      </c>
      <c r="D64" s="13">
        <f>163.26+221.21+103.53+118.88+70.44</f>
        <v>677.31999999999994</v>
      </c>
      <c r="E64" s="14">
        <f>32.46+105.8+15+34.39</f>
        <v>187.64999999999998</v>
      </c>
      <c r="F64" s="13">
        <f>39.99+77.28+98.17+92</f>
        <v>307.44</v>
      </c>
      <c r="G64" s="14">
        <f>41.72+37.94</f>
        <v>79.66</v>
      </c>
      <c r="H64" s="13">
        <f>40.67</f>
        <v>40.67</v>
      </c>
      <c r="I64" s="14">
        <f>27.95+83.38+250+18.99</f>
        <v>380.32</v>
      </c>
      <c r="J64" s="13">
        <f>249.01+147.52+86.74+49.76+174.43+50</f>
        <v>757.46</v>
      </c>
      <c r="K64" s="14">
        <f>57.72+157.41+250+60.13</f>
        <v>525.26</v>
      </c>
      <c r="L64" s="13">
        <f>90.87+109.99+61.83+167.17+224.35+250+102+40.28+250+70.64+59.76+37.69</f>
        <v>1464.5800000000002</v>
      </c>
      <c r="M64" s="14">
        <f>48+231.18+250+193.96+148.53+49.96+250+12.19+120+144.46+231.92+24.61</f>
        <v>1704.8100000000002</v>
      </c>
      <c r="N64" s="15">
        <f>SUM(B64:M64)</f>
        <v>6330.71</v>
      </c>
      <c r="O64" s="10">
        <f>8250</f>
        <v>8250</v>
      </c>
      <c r="P64" s="76"/>
      <c r="Q64" s="76">
        <f t="shared" si="3"/>
        <v>1919.29</v>
      </c>
      <c r="R64" s="124"/>
    </row>
    <row r="65" spans="1:22" x14ac:dyDescent="0.25">
      <c r="A65" s="12" t="s">
        <v>86</v>
      </c>
      <c r="B65" s="13"/>
      <c r="C65" s="14"/>
      <c r="D65" s="13"/>
      <c r="E65" s="14"/>
      <c r="F65" s="13">
        <f>57.56</f>
        <v>57.56</v>
      </c>
      <c r="G65" s="14">
        <v>34.99</v>
      </c>
      <c r="H65" s="13">
        <f>199+262.15+75</f>
        <v>536.15</v>
      </c>
      <c r="I65" s="14"/>
      <c r="J65" s="13">
        <v>448.2</v>
      </c>
      <c r="K65" s="14"/>
      <c r="L65" s="13">
        <v>299.99</v>
      </c>
      <c r="M65" s="14">
        <f>1.25+232.99+1432.17+7.99</f>
        <v>1674.4</v>
      </c>
      <c r="N65" s="15">
        <f t="shared" si="2"/>
        <v>3051.29</v>
      </c>
      <c r="O65" s="10">
        <v>1000</v>
      </c>
      <c r="P65" s="76"/>
      <c r="Q65" s="76">
        <f t="shared" si="3"/>
        <v>-2051.29</v>
      </c>
      <c r="R65" s="149" t="s">
        <v>228</v>
      </c>
    </row>
    <row r="66" spans="1:22" x14ac:dyDescent="0.25">
      <c r="A66" s="140" t="s">
        <v>87</v>
      </c>
      <c r="B66" s="13"/>
      <c r="C66" s="14"/>
      <c r="D66" s="13"/>
      <c r="E66" s="14"/>
      <c r="F66" s="13"/>
      <c r="G66" s="14"/>
      <c r="H66" s="13"/>
      <c r="I66" s="14"/>
      <c r="J66" s="13"/>
      <c r="K66" s="14"/>
      <c r="L66" s="13"/>
      <c r="M66" s="14">
        <f>38.45+206.79</f>
        <v>245.24</v>
      </c>
      <c r="N66" s="15">
        <f t="shared" si="2"/>
        <v>245.24</v>
      </c>
      <c r="O66" s="10">
        <v>500</v>
      </c>
      <c r="P66" s="76"/>
      <c r="Q66" s="76">
        <f t="shared" si="3"/>
        <v>254.76</v>
      </c>
      <c r="R66" s="70" t="s">
        <v>88</v>
      </c>
    </row>
    <row r="67" spans="1:22" x14ac:dyDescent="0.25">
      <c r="A67" s="142" t="s">
        <v>89</v>
      </c>
      <c r="B67" s="130"/>
      <c r="C67" s="131"/>
      <c r="D67" s="130"/>
      <c r="E67" s="131"/>
      <c r="F67" s="130"/>
      <c r="G67" s="131"/>
      <c r="H67" s="130"/>
      <c r="I67" s="131"/>
      <c r="J67" s="130"/>
      <c r="K67" s="131"/>
      <c r="L67" s="130"/>
      <c r="M67" s="131"/>
      <c r="N67" s="132">
        <f t="shared" si="2"/>
        <v>0</v>
      </c>
      <c r="O67" s="133">
        <v>0</v>
      </c>
      <c r="P67" s="76"/>
      <c r="Q67" s="76">
        <f t="shared" si="3"/>
        <v>0</v>
      </c>
      <c r="R67" s="70" t="s">
        <v>90</v>
      </c>
    </row>
    <row r="68" spans="1:22" x14ac:dyDescent="0.25">
      <c r="A68" s="140" t="s">
        <v>91</v>
      </c>
      <c r="B68" s="13"/>
      <c r="C68" s="14"/>
      <c r="D68" s="13"/>
      <c r="E68" s="14"/>
      <c r="F68" s="13"/>
      <c r="G68" s="14"/>
      <c r="H68" s="13">
        <v>2250</v>
      </c>
      <c r="I68" s="14"/>
      <c r="J68" s="13"/>
      <c r="K68" s="14"/>
      <c r="L68" s="13"/>
      <c r="M68" s="14"/>
      <c r="N68" s="15">
        <f t="shared" si="2"/>
        <v>2250</v>
      </c>
      <c r="O68" s="10">
        <v>2250</v>
      </c>
      <c r="P68" s="76"/>
      <c r="Q68" s="76">
        <f t="shared" si="3"/>
        <v>0</v>
      </c>
      <c r="R68" s="70" t="s">
        <v>92</v>
      </c>
    </row>
    <row r="69" spans="1:22" x14ac:dyDescent="0.25">
      <c r="A69" s="140" t="s">
        <v>93</v>
      </c>
      <c r="B69" s="13"/>
      <c r="C69" s="14"/>
      <c r="D69" s="13"/>
      <c r="E69" s="14"/>
      <c r="F69" s="13"/>
      <c r="G69" s="14"/>
      <c r="H69" s="13"/>
      <c r="I69" s="14"/>
      <c r="J69" s="13"/>
      <c r="K69" s="14"/>
      <c r="L69" s="13">
        <v>572.05999999999995</v>
      </c>
      <c r="M69" s="14"/>
      <c r="N69" s="15">
        <f t="shared" si="2"/>
        <v>572.05999999999995</v>
      </c>
      <c r="O69" s="10">
        <v>572</v>
      </c>
      <c r="P69" s="76"/>
      <c r="Q69" s="76">
        <f t="shared" si="3"/>
        <v>-5.999999999994543E-2</v>
      </c>
      <c r="R69" s="70" t="s">
        <v>94</v>
      </c>
    </row>
    <row r="70" spans="1:22" x14ac:dyDescent="0.25">
      <c r="A70" s="12" t="s">
        <v>95</v>
      </c>
      <c r="B70" s="13"/>
      <c r="C70" s="14"/>
      <c r="D70" s="13"/>
      <c r="E70" s="14"/>
      <c r="F70" s="13"/>
      <c r="G70" s="14"/>
      <c r="H70" s="13"/>
      <c r="I70" s="14"/>
      <c r="J70" s="13"/>
      <c r="K70" s="14"/>
      <c r="L70" s="13"/>
      <c r="M70" s="14"/>
      <c r="N70" s="15">
        <f>SUM(B70:M70)</f>
        <v>0</v>
      </c>
      <c r="O70" s="10">
        <v>150</v>
      </c>
      <c r="P70" s="76"/>
      <c r="Q70" s="76">
        <f t="shared" si="3"/>
        <v>150</v>
      </c>
      <c r="R70" s="70"/>
    </row>
    <row r="71" spans="1:22" ht="15.75" thickBot="1" x14ac:dyDescent="0.3">
      <c r="A71" s="20"/>
      <c r="B71" s="21"/>
      <c r="C71" s="22"/>
      <c r="D71" s="21"/>
      <c r="E71" s="22"/>
      <c r="F71" s="21"/>
      <c r="G71" s="22"/>
      <c r="H71" s="21"/>
      <c r="I71" s="22"/>
      <c r="J71" s="21"/>
      <c r="K71" s="22"/>
      <c r="L71" s="21"/>
      <c r="M71" s="22"/>
      <c r="N71" s="23"/>
      <c r="O71" s="24"/>
      <c r="P71" s="76"/>
      <c r="Q71" s="76"/>
      <c r="R71" s="70"/>
    </row>
    <row r="72" spans="1:22" x14ac:dyDescent="0.25">
      <c r="A72" s="37" t="s">
        <v>96</v>
      </c>
      <c r="B72" s="38">
        <f t="shared" ref="B72:M72" si="4">SUM(B19:B71)</f>
        <v>0</v>
      </c>
      <c r="C72" s="39">
        <f t="shared" si="4"/>
        <v>5367.2300000000005</v>
      </c>
      <c r="D72" s="38">
        <f t="shared" si="4"/>
        <v>6848.07</v>
      </c>
      <c r="E72" s="39">
        <f t="shared" si="4"/>
        <v>2785.8300000000004</v>
      </c>
      <c r="F72" s="38">
        <f t="shared" si="4"/>
        <v>3547.09</v>
      </c>
      <c r="G72" s="39">
        <f t="shared" si="4"/>
        <v>4302.5199999999995</v>
      </c>
      <c r="H72" s="38">
        <f t="shared" si="4"/>
        <v>4342.74</v>
      </c>
      <c r="I72" s="39">
        <f t="shared" si="4"/>
        <v>1975.27</v>
      </c>
      <c r="J72" s="38">
        <f t="shared" si="4"/>
        <v>4257.59</v>
      </c>
      <c r="K72" s="39">
        <f t="shared" si="4"/>
        <v>1859.35</v>
      </c>
      <c r="L72" s="38">
        <f t="shared" si="4"/>
        <v>10772.41</v>
      </c>
      <c r="M72" s="39">
        <f t="shared" si="4"/>
        <v>14507.149999999998</v>
      </c>
      <c r="N72" s="40">
        <f>SUM(N19:N71)</f>
        <v>60565.25</v>
      </c>
      <c r="O72" s="41">
        <f>SUM(O19:O71)</f>
        <v>70432</v>
      </c>
      <c r="P72" s="77"/>
      <c r="Q72" s="77"/>
      <c r="R72" s="116"/>
      <c r="S72" s="117"/>
    </row>
    <row r="73" spans="1:22" x14ac:dyDescent="0.25">
      <c r="A73" s="42" t="s">
        <v>97</v>
      </c>
      <c r="B73" s="30"/>
      <c r="C73" s="43"/>
      <c r="D73" s="30"/>
      <c r="E73" s="43"/>
      <c r="F73" s="30"/>
      <c r="G73" s="43"/>
      <c r="H73" s="30"/>
      <c r="I73" s="43"/>
      <c r="J73" s="30"/>
      <c r="K73" s="43"/>
      <c r="L73" s="30"/>
      <c r="M73" s="43"/>
      <c r="N73" s="44">
        <f>N17-N72</f>
        <v>8468.8099999999977</v>
      </c>
      <c r="O73" s="45">
        <f>O17-O72</f>
        <v>-26782</v>
      </c>
      <c r="P73" s="78"/>
      <c r="Q73" s="78"/>
    </row>
    <row r="74" spans="1:22" s="11" customFormat="1" x14ac:dyDescent="0.25">
      <c r="A74" s="46" t="s">
        <v>98</v>
      </c>
      <c r="B74" s="30"/>
      <c r="C74" s="43"/>
      <c r="D74" s="30"/>
      <c r="E74" s="43"/>
      <c r="F74" s="30"/>
      <c r="G74" s="43"/>
      <c r="H74" s="30"/>
      <c r="I74" s="43"/>
      <c r="J74" s="30"/>
      <c r="K74" s="43"/>
      <c r="L74" s="30"/>
      <c r="M74" s="43"/>
      <c r="N74" s="44"/>
      <c r="O74" s="47"/>
      <c r="P74" s="79"/>
      <c r="Q74" s="79"/>
      <c r="R74" s="116"/>
      <c r="S74"/>
      <c r="T74"/>
      <c r="U74"/>
    </row>
    <row r="75" spans="1:22" s="11" customFormat="1" x14ac:dyDescent="0.25">
      <c r="A75" s="48" t="s">
        <v>99</v>
      </c>
      <c r="B75" s="49">
        <f>1.1+1.09</f>
        <v>2.1900000000000004</v>
      </c>
      <c r="C75" s="50">
        <f>1.1+1.02</f>
        <v>2.12</v>
      </c>
      <c r="D75" s="49">
        <f>1.07+0.93</f>
        <v>2</v>
      </c>
      <c r="E75" s="50">
        <f>1.1+1.55</f>
        <v>2.6500000000000004</v>
      </c>
      <c r="F75" s="49">
        <f>1.07+2.54</f>
        <v>3.6100000000000003</v>
      </c>
      <c r="G75" s="50">
        <f>2.64+1.1</f>
        <v>3.74</v>
      </c>
      <c r="H75" s="49">
        <f>1.1+2.53</f>
        <v>3.63</v>
      </c>
      <c r="I75" s="50">
        <f>2.2+1</f>
        <v>3.2</v>
      </c>
      <c r="J75" s="49">
        <f>1.1+2.36</f>
        <v>3.46</v>
      </c>
      <c r="K75" s="50">
        <f>1.07+2.23</f>
        <v>3.3</v>
      </c>
      <c r="L75" s="49">
        <f>2.19+1.1</f>
        <v>3.29</v>
      </c>
      <c r="M75" s="50">
        <f>1.07+1.75</f>
        <v>2.8200000000000003</v>
      </c>
      <c r="N75" s="51">
        <f>SUM(B75:M75)</f>
        <v>36.010000000000005</v>
      </c>
      <c r="O75" s="52">
        <v>10</v>
      </c>
      <c r="P75" s="80"/>
      <c r="Q75" s="80"/>
      <c r="R75"/>
      <c r="S75"/>
      <c r="T75"/>
      <c r="U75"/>
    </row>
    <row r="76" spans="1:22" s="11" customFormat="1" x14ac:dyDescent="0.25">
      <c r="A76" s="53" t="s">
        <v>100</v>
      </c>
      <c r="B76" s="49">
        <f>11.05+11.67</f>
        <v>22.72</v>
      </c>
      <c r="C76" s="50">
        <f>11.69+11.64</f>
        <v>23.33</v>
      </c>
      <c r="D76" s="49">
        <f>11.34+11.29</f>
        <v>22.63</v>
      </c>
      <c r="E76" s="50">
        <f>11.69+11.74</f>
        <v>23.43</v>
      </c>
      <c r="F76" s="49">
        <f>11.39+11.34</f>
        <v>22.73</v>
      </c>
      <c r="G76" s="50">
        <f>11.74+11.79</f>
        <v>23.53</v>
      </c>
      <c r="H76" s="49">
        <f>11.81+11.76</f>
        <v>23.57</v>
      </c>
      <c r="I76" s="50">
        <f>10.69+10.65</f>
        <v>21.34</v>
      </c>
      <c r="J76" s="49">
        <f>11.81+11.86</f>
        <v>23.67</v>
      </c>
      <c r="K76" s="50">
        <f>11.5+11.45</f>
        <v>22.95</v>
      </c>
      <c r="L76" s="49">
        <f>11.91+11.86</f>
        <v>23.77</v>
      </c>
      <c r="M76" s="50">
        <f>11.55+11.5</f>
        <v>23.05</v>
      </c>
      <c r="N76" s="51">
        <f>SUM(B76:M76)</f>
        <v>276.71999999999997</v>
      </c>
      <c r="O76" s="52">
        <v>100</v>
      </c>
      <c r="P76" s="80"/>
      <c r="Q76" s="115"/>
      <c r="R76" s="117"/>
      <c r="S76"/>
      <c r="T76"/>
      <c r="U76"/>
      <c r="V76"/>
    </row>
    <row r="77" spans="1:22" s="11" customFormat="1" x14ac:dyDescent="0.25">
      <c r="A77" s="54" t="s">
        <v>101</v>
      </c>
      <c r="B77" s="55"/>
      <c r="C77" s="56"/>
      <c r="D77" s="55"/>
      <c r="E77" s="56"/>
      <c r="F77" s="55"/>
      <c r="G77" s="56"/>
      <c r="H77" s="55"/>
      <c r="I77" s="56"/>
      <c r="J77" s="55"/>
      <c r="K77" s="56"/>
      <c r="L77" s="55"/>
      <c r="M77" s="56"/>
      <c r="N77" s="57">
        <f>N75+N76</f>
        <v>312.72999999999996</v>
      </c>
      <c r="O77" s="58">
        <f>SUM(O75:O76)</f>
        <v>110</v>
      </c>
      <c r="P77" s="78"/>
      <c r="Q77" s="78"/>
      <c r="R77"/>
      <c r="S77"/>
      <c r="T77"/>
      <c r="U77"/>
      <c r="V77"/>
    </row>
    <row r="78" spans="1:22" s="11" customFormat="1" ht="15.75" thickBot="1" x14ac:dyDescent="0.3">
      <c r="A78" s="59" t="s">
        <v>102</v>
      </c>
      <c r="B78" s="60"/>
      <c r="C78" s="61"/>
      <c r="D78" s="60"/>
      <c r="E78" s="61"/>
      <c r="F78" s="60"/>
      <c r="G78" s="61"/>
      <c r="H78" s="60"/>
      <c r="I78" s="61"/>
      <c r="J78" s="60"/>
      <c r="K78" s="61"/>
      <c r="L78" s="60"/>
      <c r="M78" s="61"/>
      <c r="N78" s="62">
        <f>N73+N77</f>
        <v>8781.5399999999972</v>
      </c>
      <c r="O78" s="63">
        <f>(O73)+(O77)</f>
        <v>-26672</v>
      </c>
      <c r="P78" s="78"/>
      <c r="Q78" s="78"/>
      <c r="R78" s="117"/>
      <c r="S78"/>
      <c r="T78"/>
      <c r="U78"/>
      <c r="V78"/>
    </row>
    <row r="79" spans="1:22" s="11" customFormat="1" ht="21" customHeight="1" thickBot="1" x14ac:dyDescent="0.3">
      <c r="A79" s="64"/>
      <c r="B79" s="65"/>
      <c r="C79" s="65"/>
      <c r="D79" s="65"/>
      <c r="E79" s="65"/>
      <c r="F79" s="65"/>
      <c r="G79" s="65"/>
      <c r="H79" s="65"/>
      <c r="I79" s="65"/>
      <c r="J79" s="65"/>
      <c r="K79" s="65"/>
      <c r="L79" s="65"/>
      <c r="M79" s="65"/>
      <c r="N79" s="65"/>
      <c r="O79" s="66"/>
      <c r="P79" s="81"/>
      <c r="Q79" s="81"/>
      <c r="R79"/>
      <c r="S79"/>
      <c r="T79" s="88"/>
      <c r="U79"/>
    </row>
    <row r="80" spans="1:22" ht="15.75" thickBot="1" x14ac:dyDescent="0.3">
      <c r="A80" s="160" t="s">
        <v>232</v>
      </c>
      <c r="B80" s="161"/>
      <c r="C80" s="162"/>
      <c r="E80" s="118" t="s">
        <v>103</v>
      </c>
      <c r="O80" s="144"/>
      <c r="P80" s="145"/>
      <c r="Q80" s="145"/>
      <c r="R80" s="117"/>
      <c r="S80" s="117"/>
      <c r="T80" s="88"/>
    </row>
    <row r="81" spans="1:21" s="11" customFormat="1" x14ac:dyDescent="0.25">
      <c r="A81" s="68" t="s">
        <v>104</v>
      </c>
      <c r="B81" s="163">
        <v>31132.95</v>
      </c>
      <c r="C81" s="164"/>
      <c r="D81" s="16"/>
      <c r="E81" s="136" t="s">
        <v>237</v>
      </c>
      <c r="F81" s="137"/>
      <c r="G81" s="137"/>
      <c r="H81" s="137"/>
      <c r="I81" s="137"/>
      <c r="J81" s="137"/>
      <c r="K81" s="137"/>
      <c r="L81" s="137"/>
      <c r="M81" s="137"/>
      <c r="N81" s="137"/>
      <c r="O81" s="146"/>
      <c r="P81" s="145"/>
      <c r="Q81" s="145"/>
      <c r="R81"/>
      <c r="S81"/>
      <c r="T81"/>
      <c r="U81"/>
    </row>
    <row r="82" spans="1:21" x14ac:dyDescent="0.25">
      <c r="A82" s="68" t="s">
        <v>105</v>
      </c>
      <c r="B82" s="163">
        <v>12992.56</v>
      </c>
      <c r="C82" s="164"/>
      <c r="E82" s="136" t="s">
        <v>235</v>
      </c>
      <c r="F82" s="139"/>
      <c r="G82" s="137"/>
      <c r="H82" s="137"/>
      <c r="I82" s="137"/>
      <c r="J82" s="137"/>
      <c r="K82" s="137"/>
      <c r="L82" s="137"/>
      <c r="M82" s="137"/>
      <c r="N82" s="137"/>
      <c r="O82" s="146"/>
      <c r="P82" s="147"/>
      <c r="Q82" s="147"/>
    </row>
    <row r="83" spans="1:21" s="16" customFormat="1" x14ac:dyDescent="0.25">
      <c r="A83" s="120" t="s">
        <v>106</v>
      </c>
      <c r="B83" s="163">
        <v>5672.72</v>
      </c>
      <c r="C83" s="164"/>
      <c r="E83" s="136" t="s">
        <v>236</v>
      </c>
      <c r="F83" s="139"/>
      <c r="G83" s="137"/>
      <c r="H83" s="137"/>
      <c r="I83" s="137"/>
      <c r="J83" s="137"/>
      <c r="K83" s="137"/>
      <c r="L83" s="137"/>
      <c r="M83" s="137"/>
      <c r="N83" s="137"/>
      <c r="O83" s="146"/>
      <c r="P83" s="145"/>
      <c r="Q83" s="145"/>
      <c r="R83"/>
      <c r="S83"/>
      <c r="T83"/>
      <c r="U83"/>
    </row>
    <row r="84" spans="1:21" x14ac:dyDescent="0.25">
      <c r="A84" s="120" t="s">
        <v>107</v>
      </c>
      <c r="B84" s="163">
        <v>5648.26</v>
      </c>
      <c r="C84" s="164"/>
      <c r="E84" s="119"/>
      <c r="L84" s="137"/>
      <c r="M84" s="137"/>
      <c r="N84" s="137"/>
      <c r="O84" s="144"/>
      <c r="P84" s="147"/>
      <c r="Q84" s="147"/>
    </row>
    <row r="85" spans="1:21" ht="15.75" thickBot="1" x14ac:dyDescent="0.3">
      <c r="A85" s="121" t="s">
        <v>108</v>
      </c>
      <c r="B85" s="163">
        <v>556.49</v>
      </c>
      <c r="C85" s="164"/>
      <c r="E85" s="119"/>
      <c r="O85" s="146"/>
      <c r="P85" s="145"/>
      <c r="Q85" s="145"/>
    </row>
    <row r="86" spans="1:21" ht="15.75" thickBot="1" x14ac:dyDescent="0.3">
      <c r="A86" s="122"/>
      <c r="B86" s="158">
        <f>SUM(B81:C85)</f>
        <v>56002.98</v>
      </c>
      <c r="C86" s="159"/>
      <c r="E86" s="119"/>
      <c r="M86" s="137"/>
      <c r="N86" s="137"/>
      <c r="O86" s="138"/>
    </row>
    <row r="87" spans="1:21" x14ac:dyDescent="0.25">
      <c r="F87" s="119"/>
      <c r="L87" s="137"/>
      <c r="M87" s="137"/>
      <c r="N87" s="137"/>
      <c r="O87" s="138"/>
    </row>
    <row r="88" spans="1:21" x14ac:dyDescent="0.25">
      <c r="E88" s="136"/>
      <c r="F88" s="136"/>
      <c r="G88" s="137"/>
      <c r="H88" s="137"/>
      <c r="I88" s="137"/>
      <c r="J88" s="137"/>
      <c r="K88" s="137"/>
      <c r="L88" s="137"/>
      <c r="M88" s="137"/>
      <c r="N88" s="137"/>
      <c r="O88" s="138"/>
    </row>
    <row r="89" spans="1:21" x14ac:dyDescent="0.25">
      <c r="E89" s="136"/>
      <c r="F89" s="136"/>
      <c r="G89" s="137"/>
      <c r="H89" s="137"/>
      <c r="I89" s="137"/>
      <c r="J89" s="137"/>
    </row>
    <row r="90" spans="1:21" x14ac:dyDescent="0.25">
      <c r="F90" s="119"/>
    </row>
    <row r="91" spans="1:21" x14ac:dyDescent="0.25">
      <c r="F91" s="119"/>
      <c r="G91" s="119"/>
    </row>
    <row r="92" spans="1:21" x14ac:dyDescent="0.25">
      <c r="G92" s="119"/>
    </row>
    <row r="93" spans="1:21" x14ac:dyDescent="0.25">
      <c r="G93" s="119"/>
    </row>
  </sheetData>
  <mergeCells count="7">
    <mergeCell ref="B86:C86"/>
    <mergeCell ref="A80:C80"/>
    <mergeCell ref="B81:C81"/>
    <mergeCell ref="B82:C82"/>
    <mergeCell ref="B83:C83"/>
    <mergeCell ref="B84:C84"/>
    <mergeCell ref="B85:C85"/>
  </mergeCells>
  <printOptions horizontalCentered="1"/>
  <pageMargins left="0.2" right="0.2" top="0.5" bottom="0.25" header="0.3" footer="0.3"/>
  <pageSetup scale="51" orientation="portrait" r:id="rId1"/>
  <headerFooter>
    <oddHeader xml:space="preserve">&amp;L&amp;"-,Italic"&amp;9Printed by E. Davis on &amp;D&amp;CPTO Budget for the 2025-2026 School Year </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B3CC1-4A06-464D-BD37-EE7EA60EE01E}">
  <dimension ref="B2:I40"/>
  <sheetViews>
    <sheetView topLeftCell="A10" zoomScale="106" zoomScaleNormal="106" workbookViewId="0">
      <selection activeCell="E36" sqref="E36"/>
    </sheetView>
  </sheetViews>
  <sheetFormatPr defaultRowHeight="15" x14ac:dyDescent="0.25"/>
  <cols>
    <col min="1" max="1" width="2.28515625" customWidth="1"/>
    <col min="2" max="2" width="13.28515625" bestFit="1" customWidth="1"/>
    <col min="3" max="3" width="20.7109375" customWidth="1"/>
    <col min="4" max="4" width="9.5703125" bestFit="1" customWidth="1"/>
    <col min="5" max="5" width="10.85546875" style="85" bestFit="1" customWidth="1"/>
    <col min="6" max="6" width="11.140625" style="85" bestFit="1" customWidth="1"/>
    <col min="7" max="7" width="9.85546875" bestFit="1" customWidth="1"/>
    <col min="8" max="8" width="11.28515625" customWidth="1"/>
  </cols>
  <sheetData>
    <row r="2" spans="2:9" x14ac:dyDescent="0.25">
      <c r="B2" s="83"/>
      <c r="D2" s="84"/>
      <c r="F2" s="86"/>
      <c r="G2" s="87"/>
      <c r="H2" s="88">
        <v>150</v>
      </c>
    </row>
    <row r="3" spans="2:9" s="94" customFormat="1" ht="45" x14ac:dyDescent="0.25">
      <c r="B3" s="89" t="s">
        <v>109</v>
      </c>
      <c r="C3" s="89" t="s">
        <v>110</v>
      </c>
      <c r="D3" s="90" t="s">
        <v>29</v>
      </c>
      <c r="E3" s="91" t="s">
        <v>111</v>
      </c>
      <c r="F3" s="113" t="s">
        <v>31</v>
      </c>
      <c r="G3" s="92" t="s">
        <v>112</v>
      </c>
      <c r="H3" s="93" t="s">
        <v>113</v>
      </c>
    </row>
    <row r="4" spans="2:9" x14ac:dyDescent="0.25">
      <c r="B4" s="95" t="s">
        <v>114</v>
      </c>
      <c r="C4" s="95" t="s">
        <v>115</v>
      </c>
      <c r="D4" s="96">
        <v>250</v>
      </c>
      <c r="E4" s="97">
        <f>109.99+37.69</f>
        <v>147.68</v>
      </c>
      <c r="F4" s="114">
        <f>D4-E4</f>
        <v>102.32</v>
      </c>
      <c r="G4" s="98">
        <v>57.5</v>
      </c>
      <c r="H4" s="99">
        <f>$H$2-G4</f>
        <v>92.5</v>
      </c>
    </row>
    <row r="5" spans="2:9" x14ac:dyDescent="0.25">
      <c r="B5" s="95" t="s">
        <v>116</v>
      </c>
      <c r="C5" s="95" t="s">
        <v>117</v>
      </c>
      <c r="D5" s="96">
        <v>250</v>
      </c>
      <c r="E5" s="97"/>
      <c r="F5" s="114">
        <f t="shared" ref="F5:F35" si="0">D5-E5</f>
        <v>250</v>
      </c>
      <c r="G5" s="98">
        <f>38.14+22.47</f>
        <v>60.61</v>
      </c>
      <c r="H5" s="99">
        <f>$H$2-G5</f>
        <v>89.39</v>
      </c>
    </row>
    <row r="6" spans="2:9" x14ac:dyDescent="0.25">
      <c r="B6" s="95" t="s">
        <v>116</v>
      </c>
      <c r="C6" s="95" t="s">
        <v>118</v>
      </c>
      <c r="D6" s="96">
        <v>250</v>
      </c>
      <c r="E6" s="97">
        <f>163.26+86.74</f>
        <v>250</v>
      </c>
      <c r="F6" s="114">
        <f t="shared" si="0"/>
        <v>0</v>
      </c>
      <c r="G6" s="98">
        <v>43.86</v>
      </c>
      <c r="H6" s="99">
        <f>$H$2-G6</f>
        <v>106.14</v>
      </c>
    </row>
    <row r="7" spans="2:9" x14ac:dyDescent="0.25">
      <c r="B7" s="95" t="s">
        <v>116</v>
      </c>
      <c r="C7" s="95" t="s">
        <v>119</v>
      </c>
      <c r="D7" s="96">
        <v>250</v>
      </c>
      <c r="E7" s="97">
        <v>250</v>
      </c>
      <c r="F7" s="114">
        <f t="shared" si="0"/>
        <v>0</v>
      </c>
      <c r="G7" s="98"/>
      <c r="H7" s="99">
        <f t="shared" ref="H7:H19" si="1">$H$2-G7</f>
        <v>150</v>
      </c>
    </row>
    <row r="8" spans="2:9" x14ac:dyDescent="0.25">
      <c r="B8" s="95" t="s">
        <v>120</v>
      </c>
      <c r="C8" s="95" t="s">
        <v>121</v>
      </c>
      <c r="D8" s="96">
        <v>250</v>
      </c>
      <c r="E8" s="97"/>
      <c r="F8" s="114">
        <f t="shared" si="0"/>
        <v>250</v>
      </c>
      <c r="G8" s="98">
        <f>75/2</f>
        <v>37.5</v>
      </c>
      <c r="H8" s="99">
        <f t="shared" si="1"/>
        <v>112.5</v>
      </c>
    </row>
    <row r="9" spans="2:9" x14ac:dyDescent="0.25">
      <c r="B9" s="95" t="s">
        <v>120</v>
      </c>
      <c r="C9" s="95" t="s">
        <v>122</v>
      </c>
      <c r="D9" s="96">
        <v>250</v>
      </c>
      <c r="E9" s="97">
        <v>250</v>
      </c>
      <c r="F9" s="114">
        <f t="shared" si="0"/>
        <v>0</v>
      </c>
      <c r="G9" s="97">
        <f>(67.32/2)+(75/2)</f>
        <v>71.16</v>
      </c>
      <c r="H9" s="99">
        <f t="shared" si="1"/>
        <v>78.84</v>
      </c>
    </row>
    <row r="10" spans="2:9" x14ac:dyDescent="0.25">
      <c r="B10" s="95" t="s">
        <v>123</v>
      </c>
      <c r="C10" s="106" t="s">
        <v>124</v>
      </c>
      <c r="D10" s="143">
        <f>250+150</f>
        <v>400</v>
      </c>
      <c r="E10" s="97">
        <v>250</v>
      </c>
      <c r="F10" s="114">
        <f t="shared" si="0"/>
        <v>150</v>
      </c>
      <c r="G10" s="127"/>
      <c r="H10" s="128">
        <f>$H$2-G10-50</f>
        <v>100</v>
      </c>
      <c r="I10" s="124" t="s">
        <v>125</v>
      </c>
    </row>
    <row r="11" spans="2:9" x14ac:dyDescent="0.25">
      <c r="B11" s="95" t="s">
        <v>123</v>
      </c>
      <c r="C11" s="95" t="s">
        <v>126</v>
      </c>
      <c r="D11" s="96">
        <v>250</v>
      </c>
      <c r="E11" s="97">
        <v>250</v>
      </c>
      <c r="F11" s="114">
        <f t="shared" si="0"/>
        <v>0</v>
      </c>
      <c r="G11" s="98">
        <f>50+20.37</f>
        <v>70.37</v>
      </c>
      <c r="H11" s="99">
        <f t="shared" si="1"/>
        <v>79.63</v>
      </c>
    </row>
    <row r="12" spans="2:9" x14ac:dyDescent="0.25">
      <c r="B12" s="95" t="s">
        <v>127</v>
      </c>
      <c r="C12" s="95" t="s">
        <v>128</v>
      </c>
      <c r="D12" s="96">
        <v>250</v>
      </c>
      <c r="E12" s="97"/>
      <c r="F12" s="114">
        <f t="shared" ref="F12" si="2">D12-E12</f>
        <v>250</v>
      </c>
      <c r="G12" s="98">
        <v>50</v>
      </c>
      <c r="H12" s="99">
        <f t="shared" ref="H12" si="3">$H$2-G12</f>
        <v>100</v>
      </c>
    </row>
    <row r="13" spans="2:9" x14ac:dyDescent="0.25">
      <c r="B13" s="95" t="s">
        <v>127</v>
      </c>
      <c r="C13" s="95" t="s">
        <v>129</v>
      </c>
      <c r="D13" s="96">
        <v>250</v>
      </c>
      <c r="E13" s="97"/>
      <c r="F13" s="114">
        <f t="shared" si="0"/>
        <v>250</v>
      </c>
      <c r="G13" s="98"/>
      <c r="H13" s="99">
        <f t="shared" si="1"/>
        <v>150</v>
      </c>
    </row>
    <row r="14" spans="2:9" x14ac:dyDescent="0.25">
      <c r="B14" s="95" t="s">
        <v>127</v>
      </c>
      <c r="C14" s="95" t="s">
        <v>130</v>
      </c>
      <c r="D14" s="96">
        <v>250</v>
      </c>
      <c r="E14" s="97">
        <v>231.18</v>
      </c>
      <c r="F14" s="114">
        <f t="shared" si="0"/>
        <v>18.819999999999993</v>
      </c>
      <c r="G14" s="98">
        <f>30+45.3</f>
        <v>75.3</v>
      </c>
      <c r="H14" s="99">
        <f t="shared" si="1"/>
        <v>74.7</v>
      </c>
    </row>
    <row r="15" spans="2:9" x14ac:dyDescent="0.25">
      <c r="B15" s="95" t="s">
        <v>131</v>
      </c>
      <c r="C15" s="95" t="s">
        <v>132</v>
      </c>
      <c r="D15" s="96">
        <v>250</v>
      </c>
      <c r="E15" s="97">
        <f>118.88+77.28+50</f>
        <v>246.16</v>
      </c>
      <c r="F15" s="114">
        <f t="shared" si="0"/>
        <v>3.8400000000000034</v>
      </c>
      <c r="G15" s="98">
        <f>25.41+(45.37/2)+(71.65/2)+(66.36/2)</f>
        <v>117.1</v>
      </c>
      <c r="H15" s="99">
        <f t="shared" si="1"/>
        <v>32.900000000000006</v>
      </c>
    </row>
    <row r="16" spans="2:9" x14ac:dyDescent="0.25">
      <c r="B16" s="95" t="s">
        <v>131</v>
      </c>
      <c r="C16" s="95" t="s">
        <v>133</v>
      </c>
      <c r="D16" s="96">
        <v>250</v>
      </c>
      <c r="E16" s="97">
        <f>174.43+59.76</f>
        <v>234.19</v>
      </c>
      <c r="F16" s="114">
        <f t="shared" si="0"/>
        <v>15.810000000000002</v>
      </c>
      <c r="G16" s="98">
        <f>(45.37/2)+(71.65/2)+(66.36/2)</f>
        <v>91.69</v>
      </c>
      <c r="H16" s="99">
        <f t="shared" si="1"/>
        <v>58.31</v>
      </c>
    </row>
    <row r="17" spans="2:8" x14ac:dyDescent="0.25">
      <c r="B17" s="95" t="s">
        <v>134</v>
      </c>
      <c r="C17" s="95" t="s">
        <v>135</v>
      </c>
      <c r="D17" s="96">
        <v>250</v>
      </c>
      <c r="E17" s="97">
        <f>40.28+193.96</f>
        <v>234.24</v>
      </c>
      <c r="F17" s="114">
        <f t="shared" si="0"/>
        <v>15.759999999999991</v>
      </c>
      <c r="G17" s="98">
        <f>50+31.3</f>
        <v>81.3</v>
      </c>
      <c r="H17" s="99">
        <f t="shared" si="1"/>
        <v>68.7</v>
      </c>
    </row>
    <row r="18" spans="2:8" x14ac:dyDescent="0.25">
      <c r="B18" s="95" t="s">
        <v>134</v>
      </c>
      <c r="C18" s="95" t="s">
        <v>136</v>
      </c>
      <c r="D18" s="96">
        <v>250</v>
      </c>
      <c r="E18" s="97">
        <v>250</v>
      </c>
      <c r="F18" s="114">
        <f t="shared" si="0"/>
        <v>0</v>
      </c>
      <c r="G18" s="97">
        <f>(67.32/2)+48+50</f>
        <v>131.66</v>
      </c>
      <c r="H18" s="99">
        <f t="shared" si="1"/>
        <v>18.340000000000003</v>
      </c>
    </row>
    <row r="19" spans="2:8" x14ac:dyDescent="0.25">
      <c r="B19" s="95" t="s">
        <v>134</v>
      </c>
      <c r="C19" s="95" t="s">
        <v>137</v>
      </c>
      <c r="D19" s="96">
        <v>250</v>
      </c>
      <c r="E19" s="97">
        <v>231.92</v>
      </c>
      <c r="F19" s="114">
        <f t="shared" si="0"/>
        <v>18.080000000000013</v>
      </c>
      <c r="G19" s="98">
        <f>50+50</f>
        <v>100</v>
      </c>
      <c r="H19" s="99">
        <f t="shared" si="1"/>
        <v>50</v>
      </c>
    </row>
    <row r="20" spans="2:8" x14ac:dyDescent="0.25">
      <c r="B20" s="95" t="s">
        <v>138</v>
      </c>
      <c r="C20" s="95" t="s">
        <v>139</v>
      </c>
      <c r="D20" s="96">
        <v>250</v>
      </c>
      <c r="E20" s="97">
        <f>167.17+70.64+12.19</f>
        <v>250</v>
      </c>
      <c r="F20" s="114">
        <f t="shared" si="0"/>
        <v>0</v>
      </c>
      <c r="G20" s="100"/>
    </row>
    <row r="21" spans="2:8" x14ac:dyDescent="0.25">
      <c r="B21" s="95" t="s">
        <v>138</v>
      </c>
      <c r="C21" s="95" t="s">
        <v>140</v>
      </c>
      <c r="D21" s="96">
        <v>250</v>
      </c>
      <c r="E21" s="97">
        <v>205.54</v>
      </c>
      <c r="F21" s="114">
        <f t="shared" si="0"/>
        <v>44.460000000000008</v>
      </c>
      <c r="G21" s="100"/>
    </row>
    <row r="22" spans="2:8" x14ac:dyDescent="0.25">
      <c r="B22" s="95" t="s">
        <v>141</v>
      </c>
      <c r="C22" s="95" t="s">
        <v>142</v>
      </c>
      <c r="D22" s="96">
        <v>250</v>
      </c>
      <c r="E22" s="97">
        <f>83.38+18.99+144.46</f>
        <v>246.82999999999998</v>
      </c>
      <c r="F22" s="114">
        <f t="shared" si="0"/>
        <v>3.1700000000000159</v>
      </c>
      <c r="G22" s="100"/>
    </row>
    <row r="23" spans="2:8" x14ac:dyDescent="0.25">
      <c r="B23" s="95" t="s">
        <v>143</v>
      </c>
      <c r="C23" s="95" t="s">
        <v>144</v>
      </c>
      <c r="D23" s="96">
        <v>250</v>
      </c>
      <c r="E23" s="97">
        <f>70.44+41.72+37.94+49.76+49.96</f>
        <v>249.82</v>
      </c>
      <c r="F23" s="114">
        <f t="shared" si="0"/>
        <v>0.18000000000000682</v>
      </c>
      <c r="G23" s="100"/>
    </row>
    <row r="24" spans="2:8" x14ac:dyDescent="0.25">
      <c r="B24" s="95" t="s">
        <v>145</v>
      </c>
      <c r="C24" s="95" t="s">
        <v>146</v>
      </c>
      <c r="D24" s="96">
        <v>250</v>
      </c>
      <c r="E24" s="97">
        <f>147.52+102</f>
        <v>249.52</v>
      </c>
      <c r="F24" s="114">
        <f t="shared" si="0"/>
        <v>0.47999999999998977</v>
      </c>
      <c r="G24" s="100"/>
    </row>
    <row r="25" spans="2:8" x14ac:dyDescent="0.25">
      <c r="B25" s="95" t="s">
        <v>145</v>
      </c>
      <c r="C25" s="95" t="s">
        <v>147</v>
      </c>
      <c r="D25" s="96">
        <v>250</v>
      </c>
      <c r="E25" s="97">
        <v>249.01</v>
      </c>
      <c r="F25" s="114">
        <f t="shared" si="0"/>
        <v>0.99000000000000909</v>
      </c>
      <c r="G25" s="100"/>
    </row>
    <row r="26" spans="2:8" x14ac:dyDescent="0.25">
      <c r="B26" s="95" t="s">
        <v>148</v>
      </c>
      <c r="C26" s="95" t="s">
        <v>149</v>
      </c>
      <c r="D26" s="96">
        <v>250</v>
      </c>
      <c r="E26" s="97">
        <f>32.46+157.41+60.13</f>
        <v>250</v>
      </c>
      <c r="F26" s="114">
        <f t="shared" si="0"/>
        <v>0</v>
      </c>
      <c r="G26" s="100"/>
    </row>
    <row r="27" spans="2:8" x14ac:dyDescent="0.25">
      <c r="B27" s="95" t="s">
        <v>148</v>
      </c>
      <c r="C27" s="95" t="s">
        <v>150</v>
      </c>
      <c r="D27" s="96">
        <v>250</v>
      </c>
      <c r="E27" s="97">
        <f>221.21+27.95</f>
        <v>249.16</v>
      </c>
      <c r="F27" s="114">
        <f t="shared" si="0"/>
        <v>0.84000000000000341</v>
      </c>
      <c r="G27" s="100"/>
    </row>
    <row r="28" spans="2:8" x14ac:dyDescent="0.25">
      <c r="B28" s="95" t="s">
        <v>151</v>
      </c>
      <c r="C28" s="95" t="s">
        <v>152</v>
      </c>
      <c r="D28" s="96">
        <v>250</v>
      </c>
      <c r="E28" s="97">
        <f>92+120</f>
        <v>212</v>
      </c>
      <c r="F28" s="114">
        <f t="shared" si="0"/>
        <v>38</v>
      </c>
      <c r="G28" s="100"/>
    </row>
    <row r="29" spans="2:8" x14ac:dyDescent="0.25">
      <c r="B29" s="95" t="s">
        <v>153</v>
      </c>
      <c r="C29" s="95" t="s">
        <v>154</v>
      </c>
      <c r="D29" s="96" t="s">
        <v>155</v>
      </c>
      <c r="E29" s="97"/>
      <c r="F29" s="114"/>
      <c r="G29" s="100"/>
    </row>
    <row r="30" spans="2:8" x14ac:dyDescent="0.25">
      <c r="B30" s="95" t="s">
        <v>156</v>
      </c>
      <c r="C30" s="95" t="s">
        <v>157</v>
      </c>
      <c r="D30" s="96">
        <v>250</v>
      </c>
      <c r="E30" s="97">
        <f>34.39+15+39.99+61.83+48</f>
        <v>199.20999999999998</v>
      </c>
      <c r="F30" s="114">
        <f t="shared" si="0"/>
        <v>50.79000000000002</v>
      </c>
      <c r="G30" s="100"/>
    </row>
    <row r="31" spans="2:8" x14ac:dyDescent="0.25">
      <c r="B31" s="95" t="s">
        <v>158</v>
      </c>
      <c r="C31" s="95" t="s">
        <v>159</v>
      </c>
      <c r="D31" s="96">
        <v>250</v>
      </c>
      <c r="E31" s="97">
        <f>103.53+105.8+40.67</f>
        <v>250</v>
      </c>
      <c r="F31" s="114">
        <f t="shared" si="0"/>
        <v>0</v>
      </c>
      <c r="G31" s="100"/>
    </row>
    <row r="32" spans="2:8" x14ac:dyDescent="0.25">
      <c r="B32" s="95" t="s">
        <v>160</v>
      </c>
      <c r="C32" s="95" t="s">
        <v>161</v>
      </c>
      <c r="D32" s="96">
        <v>250</v>
      </c>
      <c r="E32" s="97">
        <v>250</v>
      </c>
      <c r="F32" s="114">
        <f t="shared" si="0"/>
        <v>0</v>
      </c>
      <c r="G32" s="100"/>
    </row>
    <row r="33" spans="2:9" x14ac:dyDescent="0.25">
      <c r="B33" s="95" t="s">
        <v>162</v>
      </c>
      <c r="C33" s="95" t="s">
        <v>163</v>
      </c>
      <c r="D33" s="96">
        <v>250</v>
      </c>
      <c r="E33" s="97">
        <f>98.17+57.72+90.87</f>
        <v>246.76</v>
      </c>
      <c r="F33" s="114">
        <f t="shared" si="0"/>
        <v>3.2400000000000091</v>
      </c>
      <c r="G33" s="100"/>
    </row>
    <row r="34" spans="2:9" x14ac:dyDescent="0.25">
      <c r="B34" s="95" t="s">
        <v>164</v>
      </c>
      <c r="C34" s="95" t="s">
        <v>165</v>
      </c>
      <c r="D34" s="96">
        <v>150</v>
      </c>
      <c r="E34" s="97">
        <v>148.53</v>
      </c>
      <c r="F34" s="114">
        <f t="shared" si="0"/>
        <v>1.4699999999999989</v>
      </c>
      <c r="G34" s="100"/>
      <c r="H34" t="s">
        <v>166</v>
      </c>
    </row>
    <row r="35" spans="2:9" x14ac:dyDescent="0.25">
      <c r="B35" s="95" t="s">
        <v>167</v>
      </c>
      <c r="C35" s="95" t="s">
        <v>168</v>
      </c>
      <c r="D35" s="101">
        <v>250</v>
      </c>
      <c r="E35" s="97">
        <f>224.35+24.61</f>
        <v>248.95999999999998</v>
      </c>
      <c r="F35" s="114">
        <f t="shared" si="0"/>
        <v>1.0400000000000205</v>
      </c>
      <c r="G35" s="100"/>
      <c r="H35" s="102"/>
    </row>
    <row r="36" spans="2:9" ht="15.75" thickBot="1" x14ac:dyDescent="0.3">
      <c r="D36" s="84"/>
      <c r="G36" s="87"/>
    </row>
    <row r="37" spans="2:9" ht="15.75" thickBot="1" x14ac:dyDescent="0.3">
      <c r="D37" s="103">
        <f>SUM(D4:D35)</f>
        <v>7800</v>
      </c>
      <c r="E37" s="104">
        <f>SUM(E4:E35)</f>
        <v>6330.71</v>
      </c>
      <c r="F37" s="104">
        <f>SUM(F4:F35)</f>
        <v>1469.2899999999997</v>
      </c>
      <c r="G37" s="105">
        <f>SUM(G4:G35)</f>
        <v>988.04999999999984</v>
      </c>
      <c r="H37" s="105">
        <f>SUM(H4:H35)</f>
        <v>1361.95</v>
      </c>
      <c r="I37" s="105">
        <f t="shared" ref="I37" si="4">SUM(I4:I35)</f>
        <v>0</v>
      </c>
    </row>
    <row r="39" spans="2:9" x14ac:dyDescent="0.25">
      <c r="E39" s="116"/>
    </row>
    <row r="40" spans="2:9" x14ac:dyDescent="0.25">
      <c r="E40" s="116"/>
    </row>
  </sheetData>
  <phoneticPr fontId="6" type="noConversion"/>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24BC-45A7-4449-B320-0C366ABC636D}">
  <dimension ref="A1:D79"/>
  <sheetViews>
    <sheetView workbookViewId="0">
      <selection activeCell="F7" sqref="F7"/>
    </sheetView>
  </sheetViews>
  <sheetFormatPr defaultColWidth="12.85546875" defaultRowHeight="15" outlineLevelRow="2" x14ac:dyDescent="0.25"/>
  <cols>
    <col min="1" max="1" width="61.5703125" style="11" customWidth="1"/>
    <col min="2" max="2" width="17.42578125" style="11" customWidth="1"/>
    <col min="3" max="4" width="12.85546875" style="125"/>
  </cols>
  <sheetData>
    <row r="1" spans="1:4" ht="15" customHeight="1" x14ac:dyDescent="0.25">
      <c r="A1" s="165" t="s">
        <v>170</v>
      </c>
      <c r="B1" s="166"/>
    </row>
    <row r="2" spans="1:4" ht="15" customHeight="1" x14ac:dyDescent="0.25">
      <c r="A2" s="167" t="s">
        <v>169</v>
      </c>
      <c r="B2" s="166"/>
    </row>
    <row r="3" spans="1:4" x14ac:dyDescent="0.25">
      <c r="A3" s="168" t="s">
        <v>233</v>
      </c>
      <c r="B3" s="166"/>
    </row>
    <row r="5" spans="1:4" x14ac:dyDescent="0.25">
      <c r="A5" s="148" t="s">
        <v>171</v>
      </c>
      <c r="B5" s="148" t="s">
        <v>172</v>
      </c>
      <c r="C5" s="126" t="s">
        <v>173</v>
      </c>
      <c r="D5" s="126" t="s">
        <v>174</v>
      </c>
    </row>
    <row r="6" spans="1:4" x14ac:dyDescent="0.25">
      <c r="A6" s="150" t="s">
        <v>175</v>
      </c>
    </row>
    <row r="7" spans="1:4" outlineLevel="1" x14ac:dyDescent="0.25">
      <c r="A7" s="151" t="s">
        <v>176</v>
      </c>
      <c r="B7" s="152">
        <v>2610.7800000000002</v>
      </c>
      <c r="C7" s="125">
        <f>+'25 26 Spending'!N5</f>
        <v>2610.7800000000002</v>
      </c>
      <c r="D7" s="125">
        <f>+C7-B7</f>
        <v>0</v>
      </c>
    </row>
    <row r="8" spans="1:4" outlineLevel="1" x14ac:dyDescent="0.25">
      <c r="A8" s="151" t="s">
        <v>177</v>
      </c>
      <c r="B8" s="152">
        <v>2303.5300000000002</v>
      </c>
      <c r="C8" s="125">
        <f>+'25 26 Spending'!N6</f>
        <v>2303.5299999999997</v>
      </c>
      <c r="D8" s="125">
        <f t="shared" ref="D8:D12" si="0">+C8-B8</f>
        <v>0</v>
      </c>
    </row>
    <row r="9" spans="1:4" outlineLevel="1" x14ac:dyDescent="0.25">
      <c r="A9" s="151" t="s">
        <v>178</v>
      </c>
      <c r="B9" s="152">
        <v>3075</v>
      </c>
      <c r="C9" s="125">
        <f>+'25 26 Spending'!N7</f>
        <v>3075</v>
      </c>
      <c r="D9" s="125">
        <f t="shared" si="0"/>
        <v>0</v>
      </c>
    </row>
    <row r="10" spans="1:4" outlineLevel="1" x14ac:dyDescent="0.25">
      <c r="A10" s="151" t="s">
        <v>179</v>
      </c>
      <c r="B10" s="152">
        <v>133.9</v>
      </c>
      <c r="C10" s="125">
        <f>+'25 26 Spending'!N8</f>
        <v>133.9</v>
      </c>
      <c r="D10" s="125">
        <f t="shared" si="0"/>
        <v>0</v>
      </c>
    </row>
    <row r="11" spans="1:4" outlineLevel="1" x14ac:dyDescent="0.25">
      <c r="A11" s="151" t="s">
        <v>180</v>
      </c>
      <c r="B11" s="152">
        <v>43877.69</v>
      </c>
      <c r="C11" s="125">
        <f>+'25 26 Spending'!N9</f>
        <v>43877.69</v>
      </c>
      <c r="D11" s="125">
        <f t="shared" si="0"/>
        <v>0</v>
      </c>
    </row>
    <row r="12" spans="1:4" outlineLevel="1" x14ac:dyDescent="0.25">
      <c r="A12" s="151" t="s">
        <v>181</v>
      </c>
      <c r="B12" s="152">
        <v>3345.96</v>
      </c>
      <c r="C12" s="125">
        <f>+'25 26 Spending'!N10</f>
        <v>3345.9600000000005</v>
      </c>
      <c r="D12" s="125">
        <f t="shared" si="0"/>
        <v>0</v>
      </c>
    </row>
    <row r="13" spans="1:4" outlineLevel="2" x14ac:dyDescent="0.25">
      <c r="A13" s="151" t="s">
        <v>182</v>
      </c>
      <c r="B13" s="152">
        <v>155.11000000000001</v>
      </c>
      <c r="C13" s="125">
        <f>+'25 26 Spending'!N11</f>
        <v>155.11000000000001</v>
      </c>
      <c r="D13" s="125">
        <f>+C13-B13</f>
        <v>0</v>
      </c>
    </row>
    <row r="14" spans="1:4" outlineLevel="1" x14ac:dyDescent="0.25">
      <c r="A14" s="151" t="s">
        <v>183</v>
      </c>
      <c r="B14" s="152">
        <v>3678.8</v>
      </c>
      <c r="C14" s="125">
        <f>+'25 26 Spending'!N12</f>
        <v>3678.8</v>
      </c>
      <c r="D14" s="125">
        <f>+C14-B14</f>
        <v>0</v>
      </c>
    </row>
    <row r="15" spans="1:4" outlineLevel="1" x14ac:dyDescent="0.25">
      <c r="A15" s="151" t="s">
        <v>184</v>
      </c>
      <c r="B15" s="152">
        <v>138.22999999999999</v>
      </c>
    </row>
    <row r="16" spans="1:4" outlineLevel="1" x14ac:dyDescent="0.25">
      <c r="A16" s="153" t="s">
        <v>185</v>
      </c>
      <c r="B16" s="152">
        <v>365.27</v>
      </c>
    </row>
    <row r="17" spans="1:4" x14ac:dyDescent="0.25">
      <c r="A17" s="154" t="s">
        <v>186</v>
      </c>
      <c r="B17" s="155">
        <f>B15+B16</f>
        <v>503.5</v>
      </c>
      <c r="C17" s="125">
        <f>+'25 26 Spending'!N13</f>
        <v>503.5</v>
      </c>
      <c r="D17" s="125">
        <f>+C17-B17</f>
        <v>0</v>
      </c>
    </row>
    <row r="18" spans="1:4" x14ac:dyDescent="0.25">
      <c r="A18" s="151" t="s">
        <v>187</v>
      </c>
      <c r="B18" s="152">
        <v>8477.81</v>
      </c>
      <c r="C18" s="125">
        <f>+'25 26 Spending'!N14</f>
        <v>8477.81</v>
      </c>
      <c r="D18" s="125">
        <f>+C18-B18</f>
        <v>0</v>
      </c>
    </row>
    <row r="19" spans="1:4" x14ac:dyDescent="0.25">
      <c r="A19" s="151" t="s">
        <v>188</v>
      </c>
      <c r="B19" s="152">
        <v>871.98</v>
      </c>
      <c r="C19" s="125">
        <f>+'25 26 Spending'!N15</f>
        <v>871.98000000000013</v>
      </c>
      <c r="D19" s="125">
        <f>+C19-B19</f>
        <v>0</v>
      </c>
    </row>
    <row r="20" spans="1:4" outlineLevel="1" x14ac:dyDescent="0.25">
      <c r="A20" s="156" t="s">
        <v>189</v>
      </c>
      <c r="B20" s="155">
        <f>B6+B7+B8+B9+B10+B11+B12+B13+B14+B17+B18+B19</f>
        <v>69034.06</v>
      </c>
      <c r="C20" s="125">
        <f>+'25 26 Spending'!N17</f>
        <v>69034.06</v>
      </c>
      <c r="D20" s="125">
        <f>+C20-B20</f>
        <v>0</v>
      </c>
    </row>
    <row r="21" spans="1:4" outlineLevel="1" x14ac:dyDescent="0.25">
      <c r="A21" s="156" t="s">
        <v>190</v>
      </c>
      <c r="B21" s="155">
        <f>B20-0</f>
        <v>69034.06</v>
      </c>
    </row>
    <row r="22" spans="1:4" outlineLevel="1" x14ac:dyDescent="0.25">
      <c r="A22" s="150" t="s">
        <v>191</v>
      </c>
    </row>
    <row r="23" spans="1:4" outlineLevel="1" x14ac:dyDescent="0.25">
      <c r="A23" s="151" t="s">
        <v>192</v>
      </c>
      <c r="B23" s="152">
        <v>4308.7</v>
      </c>
      <c r="C23" s="125">
        <f>+'25 26 Spending'!N19</f>
        <v>4308.7000000000007</v>
      </c>
      <c r="D23" s="125">
        <f t="shared" ref="D23:D43" si="1">+C23-B23</f>
        <v>0</v>
      </c>
    </row>
    <row r="24" spans="1:4" outlineLevel="1" x14ac:dyDescent="0.25">
      <c r="A24" s="151" t="s">
        <v>34</v>
      </c>
      <c r="B24" s="152">
        <v>1375.4</v>
      </c>
      <c r="C24" s="125">
        <f>+'25 26 Spending'!N20</f>
        <v>1375.4</v>
      </c>
      <c r="D24" s="125">
        <f t="shared" si="1"/>
        <v>0</v>
      </c>
    </row>
    <row r="25" spans="1:4" outlineLevel="1" x14ac:dyDescent="0.25">
      <c r="A25" s="151" t="s">
        <v>35</v>
      </c>
      <c r="B25" s="152">
        <v>1737.5</v>
      </c>
      <c r="C25" s="125">
        <f>+'25 26 Spending'!N21</f>
        <v>1737.5</v>
      </c>
      <c r="D25" s="125">
        <f t="shared" si="1"/>
        <v>0</v>
      </c>
    </row>
    <row r="26" spans="1:4" outlineLevel="1" x14ac:dyDescent="0.25">
      <c r="A26" s="151" t="s">
        <v>193</v>
      </c>
      <c r="B26" s="152">
        <v>847.92</v>
      </c>
      <c r="C26" s="125">
        <f>+'25 26 Spending'!N22</f>
        <v>847.92000000000007</v>
      </c>
      <c r="D26" s="125">
        <f t="shared" si="1"/>
        <v>0</v>
      </c>
    </row>
    <row r="27" spans="1:4" outlineLevel="1" x14ac:dyDescent="0.25">
      <c r="A27" s="151" t="s">
        <v>194</v>
      </c>
      <c r="B27" s="152">
        <v>100</v>
      </c>
      <c r="C27" s="125">
        <f>+'25 26 Spending'!N23</f>
        <v>100</v>
      </c>
      <c r="D27" s="125">
        <f t="shared" si="1"/>
        <v>0</v>
      </c>
    </row>
    <row r="28" spans="1:4" outlineLevel="1" x14ac:dyDescent="0.25">
      <c r="A28" s="151" t="s">
        <v>39</v>
      </c>
      <c r="B28" s="152">
        <v>557.39</v>
      </c>
      <c r="C28" s="125">
        <f>+'25 26 Spending'!N24</f>
        <v>557.39</v>
      </c>
      <c r="D28" s="125">
        <f t="shared" si="1"/>
        <v>0</v>
      </c>
    </row>
    <row r="29" spans="1:4" outlineLevel="1" x14ac:dyDescent="0.25">
      <c r="A29" s="151" t="s">
        <v>195</v>
      </c>
      <c r="B29" s="152">
        <v>100</v>
      </c>
      <c r="C29" s="125">
        <f>+'25 26 Spending'!N25</f>
        <v>100</v>
      </c>
      <c r="D29" s="125">
        <f t="shared" si="1"/>
        <v>0</v>
      </c>
    </row>
    <row r="30" spans="1:4" outlineLevel="1" x14ac:dyDescent="0.25">
      <c r="A30" s="151" t="s">
        <v>42</v>
      </c>
      <c r="B30" s="152">
        <v>494.67</v>
      </c>
      <c r="C30" s="125">
        <f>+'25 26 Spending'!N27</f>
        <v>494.67</v>
      </c>
      <c r="D30" s="125">
        <f t="shared" si="1"/>
        <v>0</v>
      </c>
    </row>
    <row r="31" spans="1:4" outlineLevel="1" x14ac:dyDescent="0.25">
      <c r="A31" s="151" t="s">
        <v>43</v>
      </c>
      <c r="B31" s="152">
        <v>550.22</v>
      </c>
      <c r="C31" s="125">
        <f>+'25 26 Spending'!N28</f>
        <v>550.22</v>
      </c>
      <c r="D31" s="125">
        <f t="shared" si="1"/>
        <v>0</v>
      </c>
    </row>
    <row r="32" spans="1:4" outlineLevel="1" x14ac:dyDescent="0.25">
      <c r="A32" s="151" t="s">
        <v>45</v>
      </c>
      <c r="B32" s="152">
        <v>988.05</v>
      </c>
      <c r="C32" s="125">
        <f>+'25 26 Spending'!N29</f>
        <v>988.05</v>
      </c>
      <c r="D32" s="125">
        <f t="shared" si="1"/>
        <v>0</v>
      </c>
    </row>
    <row r="33" spans="1:4" outlineLevel="1" x14ac:dyDescent="0.25">
      <c r="A33" s="151" t="s">
        <v>46</v>
      </c>
      <c r="B33" s="152">
        <v>250</v>
      </c>
      <c r="C33" s="125">
        <f>+'25 26 Spending'!N30</f>
        <v>250</v>
      </c>
      <c r="D33" s="125">
        <f t="shared" si="1"/>
        <v>0</v>
      </c>
    </row>
    <row r="34" spans="1:4" outlineLevel="1" x14ac:dyDescent="0.25">
      <c r="A34" s="151" t="s">
        <v>229</v>
      </c>
      <c r="B34" s="152">
        <v>487.04</v>
      </c>
      <c r="C34" s="125">
        <f>+'25 26 Spending'!N44</f>
        <v>487.04</v>
      </c>
      <c r="D34" s="125">
        <f t="shared" si="1"/>
        <v>0</v>
      </c>
    </row>
    <row r="35" spans="1:4" outlineLevel="1" x14ac:dyDescent="0.25">
      <c r="A35" s="151" t="s">
        <v>47</v>
      </c>
      <c r="B35" s="152">
        <v>1000</v>
      </c>
      <c r="C35" s="125">
        <f>+'25 26 Spending'!N31</f>
        <v>1000</v>
      </c>
      <c r="D35" s="125">
        <f t="shared" si="1"/>
        <v>0</v>
      </c>
    </row>
    <row r="36" spans="1:4" outlineLevel="1" x14ac:dyDescent="0.25">
      <c r="A36" s="151" t="s">
        <v>196</v>
      </c>
      <c r="B36" s="152">
        <v>31.96</v>
      </c>
      <c r="C36" s="125">
        <f>+'25 26 Spending'!N60</f>
        <v>31.96</v>
      </c>
      <c r="D36" s="125">
        <f t="shared" si="1"/>
        <v>0</v>
      </c>
    </row>
    <row r="37" spans="1:4" outlineLevel="1" x14ac:dyDescent="0.25">
      <c r="A37" s="151" t="s">
        <v>52</v>
      </c>
      <c r="B37" s="152">
        <v>471.38</v>
      </c>
      <c r="C37" s="125">
        <f>+'25 26 Spending'!N35</f>
        <v>471.38</v>
      </c>
      <c r="D37" s="125">
        <f t="shared" si="1"/>
        <v>0</v>
      </c>
    </row>
    <row r="38" spans="1:4" outlineLevel="1" x14ac:dyDescent="0.25">
      <c r="A38" s="151" t="s">
        <v>197</v>
      </c>
      <c r="B38" s="152">
        <v>644.16999999999996</v>
      </c>
      <c r="C38" s="125">
        <f>+'25 26 Spending'!N33</f>
        <v>644.16999999999996</v>
      </c>
      <c r="D38" s="125">
        <f t="shared" si="1"/>
        <v>0</v>
      </c>
    </row>
    <row r="39" spans="1:4" outlineLevel="1" x14ac:dyDescent="0.25">
      <c r="A39" s="151" t="s">
        <v>225</v>
      </c>
      <c r="B39" s="152">
        <v>199.76</v>
      </c>
      <c r="C39" s="125">
        <f>+'25 26 Spending'!N37</f>
        <v>199.76</v>
      </c>
      <c r="D39" s="125">
        <f t="shared" si="1"/>
        <v>0</v>
      </c>
    </row>
    <row r="40" spans="1:4" outlineLevel="1" x14ac:dyDescent="0.25">
      <c r="A40" s="151" t="s">
        <v>198</v>
      </c>
      <c r="B40" s="157"/>
    </row>
    <row r="41" spans="1:4" outlineLevel="1" x14ac:dyDescent="0.25">
      <c r="A41" s="153" t="s">
        <v>199</v>
      </c>
      <c r="B41" s="152">
        <v>512.67999999999995</v>
      </c>
      <c r="C41" s="125">
        <f>+'25 26 Spending'!N39</f>
        <v>512.68000000000006</v>
      </c>
      <c r="D41" s="125">
        <f t="shared" si="1"/>
        <v>0</v>
      </c>
    </row>
    <row r="42" spans="1:4" outlineLevel="1" x14ac:dyDescent="0.25">
      <c r="A42" s="153" t="s">
        <v>226</v>
      </c>
      <c r="B42" s="152">
        <v>901.75</v>
      </c>
      <c r="C42" s="125">
        <f>+'25 26 Spending'!N40</f>
        <v>901.75</v>
      </c>
      <c r="D42" s="125">
        <f t="shared" si="1"/>
        <v>0</v>
      </c>
    </row>
    <row r="43" spans="1:4" outlineLevel="1" x14ac:dyDescent="0.25">
      <c r="A43" s="153" t="s">
        <v>200</v>
      </c>
      <c r="B43" s="152">
        <v>1938.91</v>
      </c>
      <c r="C43" s="125">
        <f>+'25 26 Spending'!N41</f>
        <v>1938.9099999999999</v>
      </c>
      <c r="D43" s="125">
        <f t="shared" si="1"/>
        <v>0</v>
      </c>
    </row>
    <row r="44" spans="1:4" outlineLevel="1" x14ac:dyDescent="0.25">
      <c r="A44" s="153" t="s">
        <v>201</v>
      </c>
      <c r="B44" s="152">
        <v>1451.58</v>
      </c>
      <c r="C44" s="125">
        <f>+'25 26 Spending'!N42</f>
        <v>1451.5800000000002</v>
      </c>
      <c r="D44" s="125">
        <f t="shared" ref="D44:D46" si="2">+C44-B44</f>
        <v>0</v>
      </c>
    </row>
    <row r="45" spans="1:4" outlineLevel="2" x14ac:dyDescent="0.25">
      <c r="A45" s="153" t="s">
        <v>202</v>
      </c>
      <c r="B45" s="152">
        <v>898.88</v>
      </c>
      <c r="C45" s="125">
        <f>+'25 26 Spending'!N43</f>
        <v>898.88</v>
      </c>
      <c r="D45" s="125">
        <f t="shared" si="2"/>
        <v>0</v>
      </c>
    </row>
    <row r="46" spans="1:4" outlineLevel="2" x14ac:dyDescent="0.25">
      <c r="A46" s="153" t="s">
        <v>230</v>
      </c>
      <c r="B46" s="152">
        <v>118.45</v>
      </c>
      <c r="C46" s="125">
        <f>+'25 26 Spending'!N38</f>
        <v>118.45</v>
      </c>
      <c r="D46" s="125">
        <f t="shared" si="2"/>
        <v>0</v>
      </c>
    </row>
    <row r="47" spans="1:4" outlineLevel="1" x14ac:dyDescent="0.25">
      <c r="A47" s="154" t="s">
        <v>203</v>
      </c>
      <c r="B47" s="155">
        <f>B40+B41+B42+B43+B44+B45+B46</f>
        <v>5822.25</v>
      </c>
    </row>
    <row r="48" spans="1:4" outlineLevel="1" x14ac:dyDescent="0.25">
      <c r="A48" s="151" t="s">
        <v>204</v>
      </c>
      <c r="B48" s="152">
        <v>4862.7299999999996</v>
      </c>
      <c r="C48" s="125">
        <f>+'25 26 Spending'!N45+'25 26 Spending'!N46</f>
        <v>4862.7299999999996</v>
      </c>
      <c r="D48" s="125">
        <f t="shared" ref="D48:D57" si="3">+C48-B48</f>
        <v>0</v>
      </c>
    </row>
    <row r="49" spans="1:4" outlineLevel="1" x14ac:dyDescent="0.25">
      <c r="A49" s="151" t="s">
        <v>69</v>
      </c>
      <c r="B49" s="152">
        <v>335</v>
      </c>
      <c r="C49" s="125">
        <f>+'25 26 Spending'!N50</f>
        <v>335</v>
      </c>
      <c r="D49" s="125">
        <f t="shared" si="3"/>
        <v>0</v>
      </c>
    </row>
    <row r="50" spans="1:4" outlineLevel="1" x14ac:dyDescent="0.25">
      <c r="A50" s="151" t="s">
        <v>205</v>
      </c>
      <c r="B50" s="152">
        <v>-117.6</v>
      </c>
      <c r="C50" s="125">
        <f>'25 26 Spending'!N48</f>
        <v>-117.60000000000001</v>
      </c>
      <c r="D50" s="125">
        <f t="shared" si="3"/>
        <v>0</v>
      </c>
    </row>
    <row r="51" spans="1:4" x14ac:dyDescent="0.25">
      <c r="A51" s="151" t="s">
        <v>206</v>
      </c>
      <c r="B51" s="152">
        <v>69.56</v>
      </c>
      <c r="C51" s="125">
        <f>+'25 26 Spending'!N51</f>
        <v>69.56</v>
      </c>
      <c r="D51" s="125">
        <f t="shared" si="3"/>
        <v>0</v>
      </c>
    </row>
    <row r="52" spans="1:4" x14ac:dyDescent="0.25">
      <c r="A52" s="151" t="s">
        <v>207</v>
      </c>
      <c r="B52" s="152">
        <v>3499.92</v>
      </c>
      <c r="C52" s="125">
        <f>+'25 26 Spending'!N32</f>
        <v>3499.92</v>
      </c>
      <c r="D52" s="125">
        <f t="shared" si="3"/>
        <v>0</v>
      </c>
    </row>
    <row r="53" spans="1:4" x14ac:dyDescent="0.25">
      <c r="A53" s="151" t="s">
        <v>208</v>
      </c>
      <c r="B53" s="152">
        <v>225</v>
      </c>
      <c r="C53" s="125">
        <f>+'25 26 Spending'!N55</f>
        <v>225</v>
      </c>
      <c r="D53" s="125">
        <f t="shared" si="3"/>
        <v>0</v>
      </c>
    </row>
    <row r="54" spans="1:4" outlineLevel="1" x14ac:dyDescent="0.25">
      <c r="A54" s="151" t="s">
        <v>71</v>
      </c>
      <c r="B54" s="152">
        <v>465.05</v>
      </c>
      <c r="C54" s="125">
        <f>+'25 26 Spending'!N52</f>
        <v>465.05</v>
      </c>
      <c r="D54" s="125">
        <f t="shared" si="3"/>
        <v>0</v>
      </c>
    </row>
    <row r="55" spans="1:4" outlineLevel="1" x14ac:dyDescent="0.25">
      <c r="A55" s="151" t="s">
        <v>72</v>
      </c>
      <c r="B55" s="152">
        <v>976.37</v>
      </c>
      <c r="C55" s="125">
        <f>+'25 26 Spending'!N53</f>
        <v>976.37000000000012</v>
      </c>
      <c r="D55" s="125">
        <f t="shared" si="3"/>
        <v>0</v>
      </c>
    </row>
    <row r="56" spans="1:4" x14ac:dyDescent="0.25">
      <c r="A56" s="151" t="s">
        <v>209</v>
      </c>
      <c r="B56" s="152">
        <v>433.13</v>
      </c>
      <c r="C56" s="125">
        <f>+'25 26 Spending'!N56</f>
        <v>433.13</v>
      </c>
      <c r="D56" s="125">
        <f t="shared" si="3"/>
        <v>0</v>
      </c>
    </row>
    <row r="57" spans="1:4" x14ac:dyDescent="0.25">
      <c r="A57" s="151" t="s">
        <v>210</v>
      </c>
      <c r="B57" s="152">
        <v>515.63</v>
      </c>
      <c r="C57" s="125">
        <f>+'25 26 Spending'!N57</f>
        <v>515.63</v>
      </c>
      <c r="D57" s="125">
        <f t="shared" si="3"/>
        <v>0</v>
      </c>
    </row>
    <row r="58" spans="1:4" x14ac:dyDescent="0.25">
      <c r="A58" s="151" t="s">
        <v>211</v>
      </c>
      <c r="B58" s="152">
        <v>8460.2800000000007</v>
      </c>
      <c r="C58" s="125">
        <f>+'25 26 Spending'!N58</f>
        <v>8460.2800000000007</v>
      </c>
      <c r="D58" s="125">
        <f t="shared" ref="D58:D59" si="4">+C58-B58</f>
        <v>0</v>
      </c>
    </row>
    <row r="59" spans="1:4" x14ac:dyDescent="0.25">
      <c r="A59" s="151" t="s">
        <v>212</v>
      </c>
      <c r="B59" s="152">
        <v>616.19000000000005</v>
      </c>
      <c r="C59" s="125">
        <f>+'25 26 Spending'!N59</f>
        <v>616.19000000000005</v>
      </c>
      <c r="D59" s="125">
        <f t="shared" si="4"/>
        <v>0</v>
      </c>
    </row>
    <row r="60" spans="1:4" x14ac:dyDescent="0.25">
      <c r="A60" s="151" t="s">
        <v>227</v>
      </c>
      <c r="B60" s="152">
        <v>1644.07</v>
      </c>
      <c r="C60" s="125">
        <f>+'25 26 Spending'!N54</f>
        <v>1644.07</v>
      </c>
      <c r="D60" s="125">
        <f t="shared" ref="D60" si="5">+C60-B60</f>
        <v>0</v>
      </c>
    </row>
    <row r="61" spans="1:4" x14ac:dyDescent="0.25">
      <c r="A61" s="151" t="s">
        <v>213</v>
      </c>
      <c r="B61" s="152">
        <v>1363.75</v>
      </c>
    </row>
    <row r="62" spans="1:4" x14ac:dyDescent="0.25">
      <c r="A62" s="153" t="s">
        <v>214</v>
      </c>
      <c r="B62" s="152">
        <v>2259.4</v>
      </c>
    </row>
    <row r="63" spans="1:4" x14ac:dyDescent="0.25">
      <c r="A63" s="154" t="s">
        <v>215</v>
      </c>
      <c r="B63" s="155">
        <f>B61+B62</f>
        <v>3623.15</v>
      </c>
      <c r="C63" s="125">
        <f>+'25 26 Spending'!N61</f>
        <v>3623.1500000000005</v>
      </c>
      <c r="D63" s="125">
        <f t="shared" ref="D63:D66" si="6">+C63-B63</f>
        <v>0</v>
      </c>
    </row>
    <row r="64" spans="1:4" x14ac:dyDescent="0.25">
      <c r="A64" s="151" t="s">
        <v>82</v>
      </c>
      <c r="B64" s="152">
        <v>2401.06</v>
      </c>
      <c r="C64" s="125">
        <f>+'25 26 Spending'!N62</f>
        <v>2401.0600000000004</v>
      </c>
      <c r="D64" s="125">
        <f t="shared" si="6"/>
        <v>0</v>
      </c>
    </row>
    <row r="65" spans="1:4" x14ac:dyDescent="0.25">
      <c r="A65" s="151" t="s">
        <v>84</v>
      </c>
      <c r="B65" s="152">
        <v>140</v>
      </c>
      <c r="C65" s="125">
        <f>+'25 26 Spending'!N63</f>
        <v>140</v>
      </c>
      <c r="D65" s="125">
        <f t="shared" si="6"/>
        <v>0</v>
      </c>
    </row>
    <row r="66" spans="1:4" x14ac:dyDescent="0.25">
      <c r="A66" s="151" t="s">
        <v>85</v>
      </c>
      <c r="B66" s="152">
        <v>6330.71</v>
      </c>
      <c r="C66" s="125">
        <f>+'25 26 Spending'!N64</f>
        <v>6330.71</v>
      </c>
      <c r="D66" s="125">
        <f t="shared" si="6"/>
        <v>0</v>
      </c>
    </row>
    <row r="67" spans="1:4" x14ac:dyDescent="0.25">
      <c r="A67" s="151" t="s">
        <v>86</v>
      </c>
      <c r="B67" s="152">
        <v>6118.59</v>
      </c>
      <c r="C67" s="125">
        <f>+'25 26 Spending'!N65+'25 26 Spending'!N66+'25 26 Spending'!N68+'25 26 Spending'!N69</f>
        <v>6118.59</v>
      </c>
      <c r="D67" s="125">
        <f t="shared" ref="D67" si="7">+C67-B67</f>
        <v>0</v>
      </c>
    </row>
    <row r="68" spans="1:4" x14ac:dyDescent="0.25">
      <c r="A68" s="156" t="s">
        <v>216</v>
      </c>
      <c r="B68" s="155">
        <f>B22+B23+B24+B25+B26+B27+B28+B29+B30+B31+B32+B33+B34+B35+B36+B37+B38+B39+B47+B48+B49+B50+B51+B52+B53+B54+B55+B56+B57+B58+B59+B60+B63+B64+B65+B66+B67</f>
        <v>60565.25</v>
      </c>
    </row>
    <row r="69" spans="1:4" x14ac:dyDescent="0.25">
      <c r="A69" s="156" t="s">
        <v>217</v>
      </c>
      <c r="B69" s="155">
        <f>B21-B68</f>
        <v>8468.8099999999977</v>
      </c>
    </row>
    <row r="70" spans="1:4" x14ac:dyDescent="0.25">
      <c r="A70" s="150" t="s">
        <v>218</v>
      </c>
    </row>
    <row r="71" spans="1:4" x14ac:dyDescent="0.25">
      <c r="A71" s="151" t="s">
        <v>219</v>
      </c>
      <c r="B71" s="152">
        <v>36.01</v>
      </c>
      <c r="C71" s="125">
        <f>+'25 26 Spending'!N75</f>
        <v>36.010000000000005</v>
      </c>
      <c r="D71" s="125">
        <f t="shared" ref="D71:D72" si="8">+C71-B71</f>
        <v>0</v>
      </c>
    </row>
    <row r="72" spans="1:4" x14ac:dyDescent="0.25">
      <c r="A72" s="151" t="s">
        <v>220</v>
      </c>
      <c r="B72" s="152">
        <v>276.72000000000003</v>
      </c>
      <c r="C72" s="125">
        <f>+'25 26 Spending'!N76</f>
        <v>276.71999999999997</v>
      </c>
      <c r="D72" s="125">
        <f t="shared" si="8"/>
        <v>0</v>
      </c>
    </row>
    <row r="73" spans="1:4" x14ac:dyDescent="0.25">
      <c r="A73" s="156" t="s">
        <v>221</v>
      </c>
      <c r="B73" s="155">
        <f>B70+B71+B72</f>
        <v>312.73</v>
      </c>
    </row>
    <row r="74" spans="1:4" x14ac:dyDescent="0.25">
      <c r="A74" s="156" t="s">
        <v>222</v>
      </c>
      <c r="B74" s="155">
        <f>B73-0</f>
        <v>312.73</v>
      </c>
    </row>
    <row r="75" spans="1:4" x14ac:dyDescent="0.25">
      <c r="A75" s="156" t="s">
        <v>223</v>
      </c>
      <c r="B75" s="155">
        <f>B69+B74</f>
        <v>8781.5399999999972</v>
      </c>
      <c r="C75" s="125">
        <f>+'25 26 Spending'!N78</f>
        <v>8781.5399999999972</v>
      </c>
      <c r="D75" s="125">
        <f t="shared" ref="D75" si="9">+C75-B75</f>
        <v>0</v>
      </c>
    </row>
    <row r="79" spans="1:4" x14ac:dyDescent="0.25">
      <c r="A79" s="169" t="s">
        <v>234</v>
      </c>
      <c r="B79" s="166"/>
    </row>
  </sheetData>
  <mergeCells count="4">
    <mergeCell ref="A1:B1"/>
    <mergeCell ref="A2:B2"/>
    <mergeCell ref="A3:B3"/>
    <mergeCell ref="A79:B7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25 26 Spending</vt:lpstr>
      <vt:lpstr>Teacher Spending</vt:lpstr>
      <vt:lpstr>P&amp;L 06.30.26</vt:lpstr>
      <vt:lpstr>'25 26 Spending'!Print_Area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blair hamilton</dc:creator>
  <cp:keywords/>
  <dc:description/>
  <cp:lastModifiedBy>Emily Davis</cp:lastModifiedBy>
  <cp:revision/>
  <cp:lastPrinted>2026-06-04T02:53:04Z</cp:lastPrinted>
  <dcterms:created xsi:type="dcterms:W3CDTF">2024-06-06T18:57:24Z</dcterms:created>
  <dcterms:modified xsi:type="dcterms:W3CDTF">2026-07-08T05:24:46Z</dcterms:modified>
  <cp:category/>
  <cp:contentStatus/>
</cp:coreProperties>
</file>